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T:\Benefits\401(k) Plan\401K Estimators\"/>
    </mc:Choice>
  </mc:AlternateContent>
  <xr:revisionPtr revIDLastSave="0" documentId="13_ncr:1_{4504E730-A2C1-42C8-A39A-16B866CDE258}" xr6:coauthVersionLast="47" xr6:coauthVersionMax="47" xr10:uidLastSave="{00000000-0000-0000-0000-000000000000}"/>
  <bookViews>
    <workbookView xWindow="28680" yWindow="-120" windowWidth="29040" windowHeight="15720" xr2:uid="{99B087E9-6F9A-4CC1-9E39-4656B206BF06}"/>
  </bookViews>
  <sheets>
    <sheet name="Contribution Estimator" sheetId="1" r:id="rId1"/>
    <sheet name="Employer Match Limits" sheetId="2" r:id="rId2"/>
    <sheet name="Payroll Schedule" sheetId="4"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8" i="1" l="1"/>
  <c r="J28" i="1" a="1"/>
  <c r="J28" i="1" s="1"/>
  <c r="J29" i="1" a="1"/>
  <c r="J29" i="1" s="1"/>
  <c r="E53" i="1"/>
  <c r="E54" i="1"/>
  <c r="E55" i="1"/>
  <c r="E56" i="1"/>
  <c r="E57" i="1"/>
  <c r="E60" i="1"/>
  <c r="E61" i="1"/>
  <c r="E62" i="1"/>
  <c r="E63" i="1"/>
  <c r="E64" i="1"/>
  <c r="E65" i="1"/>
  <c r="E66" i="1"/>
  <c r="E67" i="1"/>
  <c r="E68" i="1"/>
  <c r="E69" i="1"/>
  <c r="E70" i="1"/>
  <c r="E71" i="1"/>
  <c r="E72" i="1"/>
  <c r="E47" i="1"/>
  <c r="E46" i="1"/>
  <c r="E52" i="1" l="1"/>
  <c r="E51" i="1"/>
  <c r="E50" i="1"/>
  <c r="E49" i="1"/>
  <c r="E48" i="1"/>
  <c r="E59" i="1"/>
  <c r="G4" i="4" l="1"/>
  <c r="G5" i="4" s="1"/>
  <c r="G6" i="4" s="1"/>
  <c r="G7" i="4" s="1"/>
  <c r="G8" i="4" s="1"/>
  <c r="G9" i="4" s="1"/>
  <c r="G10" i="4" s="1"/>
  <c r="G11" i="4" s="1"/>
  <c r="G12" i="4" s="1"/>
  <c r="G13" i="4" s="1"/>
  <c r="G14" i="4" s="1"/>
  <c r="G15" i="4" s="1"/>
  <c r="G17" i="4"/>
  <c r="G18" i="4" s="1"/>
  <c r="G19" i="4" s="1"/>
  <c r="G20" i="4" s="1"/>
  <c r="G21" i="4" s="1"/>
  <c r="G22" i="4" s="1"/>
  <c r="G23" i="4" s="1"/>
  <c r="G24" i="4" s="1"/>
  <c r="G25" i="4" s="1"/>
  <c r="G26" i="4" s="1"/>
  <c r="G27" i="4" s="1"/>
  <c r="G28" i="4" s="1"/>
  <c r="G29" i="4" s="1"/>
  <c r="J30" i="1" l="1"/>
  <c r="J31" i="1" s="1"/>
  <c r="E5" i="4"/>
  <c r="E6" i="4"/>
  <c r="E7" i="4"/>
  <c r="E8" i="4"/>
  <c r="E9" i="4"/>
  <c r="E10" i="4"/>
  <c r="E11" i="4"/>
  <c r="E12" i="4"/>
  <c r="E13" i="4"/>
  <c r="E14" i="4"/>
  <c r="E15" i="4"/>
  <c r="E16" i="4"/>
  <c r="E17" i="4"/>
  <c r="E18" i="4"/>
  <c r="E19" i="4" s="1"/>
  <c r="E20" i="4" s="1"/>
  <c r="E21" i="4" s="1"/>
  <c r="E22" i="4" s="1"/>
  <c r="E23" i="4" s="1"/>
  <c r="E24" i="4" s="1"/>
  <c r="E25" i="4" s="1"/>
  <c r="E26" i="4" s="1"/>
  <c r="E27" i="4" s="1"/>
  <c r="E28" i="4" s="1"/>
  <c r="E29" i="4" s="1"/>
  <c r="F4" i="4"/>
  <c r="F5" i="4"/>
  <c r="F6" i="4"/>
  <c r="F7" i="4"/>
  <c r="F8" i="4"/>
  <c r="F9" i="4"/>
  <c r="F10" i="4"/>
  <c r="F11" i="4"/>
  <c r="F12" i="4"/>
  <c r="F13" i="4"/>
  <c r="F14" i="4"/>
  <c r="F15" i="4"/>
  <c r="F16" i="4"/>
  <c r="F17" i="4"/>
  <c r="F18" i="4"/>
  <c r="F19" i="4" s="1"/>
  <c r="F20" i="4" s="1"/>
  <c r="F21" i="4" s="1"/>
  <c r="F22" i="4" s="1"/>
  <c r="F23" i="4" s="1"/>
  <c r="F24" i="4" s="1"/>
  <c r="F25" i="4" s="1"/>
  <c r="F26" i="4" s="1"/>
  <c r="F27" i="4" s="1"/>
  <c r="F28" i="4" s="1"/>
  <c r="F29" i="4" s="1"/>
  <c r="A47" i="1"/>
  <c r="A48" i="1" s="1"/>
  <c r="F46" i="1"/>
  <c r="J33" i="1" l="1"/>
  <c r="F72" i="1"/>
  <c r="F71" i="1"/>
  <c r="A49" i="1"/>
  <c r="I41" i="1"/>
  <c r="I44" i="1"/>
  <c r="F48" i="1"/>
  <c r="F47" i="1"/>
  <c r="G55" i="1" l="1"/>
  <c r="G67" i="1"/>
  <c r="G56" i="1"/>
  <c r="G68" i="1"/>
  <c r="G57" i="1"/>
  <c r="G69" i="1"/>
  <c r="G58" i="1"/>
  <c r="G70" i="1"/>
  <c r="G59" i="1"/>
  <c r="G71" i="1"/>
  <c r="G60" i="1"/>
  <c r="G72" i="1"/>
  <c r="H72" i="1" s="1"/>
  <c r="G61" i="1"/>
  <c r="G62" i="1"/>
  <c r="G66" i="1"/>
  <c r="G63" i="1"/>
  <c r="G64" i="1"/>
  <c r="G65" i="1"/>
  <c r="G48" i="1"/>
  <c r="H48" i="1" s="1"/>
  <c r="G49" i="1"/>
  <c r="G47" i="1"/>
  <c r="H47" i="1" s="1"/>
  <c r="G50" i="1"/>
  <c r="G46" i="1"/>
  <c r="H46" i="1" s="1"/>
  <c r="I46" i="1" s="1"/>
  <c r="G51" i="1"/>
  <c r="G52" i="1"/>
  <c r="G53" i="1"/>
  <c r="G54" i="1"/>
  <c r="C42" i="1"/>
  <c r="J32" i="1"/>
  <c r="A50" i="1"/>
  <c r="C46" i="1" l="1"/>
  <c r="B47" i="1"/>
  <c r="B48" i="1"/>
  <c r="B60" i="1"/>
  <c r="B72" i="1"/>
  <c r="B65" i="1"/>
  <c r="B55" i="1"/>
  <c r="B57" i="1"/>
  <c r="B71" i="1"/>
  <c r="B49" i="1"/>
  <c r="B61" i="1"/>
  <c r="B46" i="1"/>
  <c r="B56" i="1"/>
  <c r="B70" i="1"/>
  <c r="B50" i="1"/>
  <c r="B62" i="1"/>
  <c r="B66" i="1"/>
  <c r="B68" i="1"/>
  <c r="B58" i="1"/>
  <c r="B51" i="1"/>
  <c r="B63" i="1"/>
  <c r="B64" i="1"/>
  <c r="B67" i="1"/>
  <c r="B69" i="1"/>
  <c r="B59" i="1"/>
  <c r="B52" i="1"/>
  <c r="B53" i="1"/>
  <c r="B54" i="1"/>
  <c r="I47" i="1"/>
  <c r="A51" i="1"/>
  <c r="F50" i="1"/>
  <c r="H50" i="1" s="1"/>
  <c r="F49" i="1"/>
  <c r="I48" i="1"/>
  <c r="C47" i="1" l="1"/>
  <c r="B73" i="1"/>
  <c r="H49" i="1"/>
  <c r="A52" i="1"/>
  <c r="C48" i="1" l="1"/>
  <c r="C49" i="1" s="1"/>
  <c r="A53" i="1"/>
  <c r="F51" i="1"/>
  <c r="H51" i="1" s="1"/>
  <c r="F52" i="1"/>
  <c r="I50" i="1"/>
  <c r="I49" i="1"/>
  <c r="C50" i="1" l="1"/>
  <c r="I51" i="1"/>
  <c r="H52" i="1"/>
  <c r="A54" i="1"/>
  <c r="C51" i="1" l="1"/>
  <c r="I52" i="1"/>
  <c r="A55" i="1"/>
  <c r="F53" i="1"/>
  <c r="H53" i="1" s="1"/>
  <c r="I53" i="1" s="1"/>
  <c r="C52" i="1" l="1"/>
  <c r="A56" i="1"/>
  <c r="F55" i="1"/>
  <c r="F54" i="1"/>
  <c r="H54" i="1" s="1"/>
  <c r="C53" i="1" l="1"/>
  <c r="C54" i="1" s="1"/>
  <c r="C55" i="1" s="1"/>
  <c r="C56" i="1" s="1"/>
  <c r="C57" i="1" s="1"/>
  <c r="C58" i="1" s="1"/>
  <c r="C59" i="1" s="1"/>
  <c r="C60" i="1" s="1"/>
  <c r="C61" i="1" s="1"/>
  <c r="C62" i="1" s="1"/>
  <c r="C63" i="1" s="1"/>
  <c r="C64" i="1" s="1"/>
  <c r="C65" i="1" s="1"/>
  <c r="C66" i="1" s="1"/>
  <c r="C67" i="1" s="1"/>
  <c r="C68" i="1" s="1"/>
  <c r="C69" i="1" s="1"/>
  <c r="C70" i="1" s="1"/>
  <c r="C71" i="1" s="1"/>
  <c r="C72" i="1" s="1"/>
  <c r="I54" i="1"/>
  <c r="A57" i="1"/>
  <c r="H55" i="1"/>
  <c r="I55" i="1" s="1"/>
  <c r="C73" i="1" l="1"/>
  <c r="A58" i="1"/>
  <c r="F56" i="1"/>
  <c r="H56" i="1" s="1"/>
  <c r="I56" i="1" l="1"/>
  <c r="F57" i="1"/>
  <c r="H57" i="1" s="1"/>
  <c r="F58" i="1"/>
  <c r="A59" i="1"/>
  <c r="I57" i="1" l="1"/>
  <c r="A60" i="1"/>
  <c r="H58" i="1"/>
  <c r="F59" i="1"/>
  <c r="F60" i="1" l="1"/>
  <c r="A61" i="1"/>
  <c r="H59" i="1"/>
  <c r="I58" i="1"/>
  <c r="H60" i="1" l="1"/>
  <c r="I60" i="1" s="1"/>
  <c r="I59" i="1"/>
  <c r="F61" i="1"/>
  <c r="A62" i="1"/>
  <c r="F62" i="1" l="1"/>
  <c r="A63" i="1"/>
  <c r="H61" i="1"/>
  <c r="H62" i="1" l="1"/>
  <c r="I62" i="1" s="1"/>
  <c r="A64" i="1"/>
  <c r="F63" i="1"/>
  <c r="I61" i="1"/>
  <c r="F64" i="1" l="1"/>
  <c r="H63" i="1"/>
  <c r="A65" i="1"/>
  <c r="H64" i="1" l="1"/>
  <c r="I64" i="1" s="1"/>
  <c r="A66" i="1"/>
  <c r="F65" i="1"/>
  <c r="I63" i="1"/>
  <c r="H65" i="1" l="1"/>
  <c r="I65" i="1" s="1"/>
  <c r="A67" i="1"/>
  <c r="F66" i="1"/>
  <c r="H66" i="1" s="1"/>
  <c r="A68" i="1" l="1"/>
  <c r="F67" i="1"/>
  <c r="I66" i="1"/>
  <c r="H67" i="1" l="1"/>
  <c r="A69" i="1"/>
  <c r="F68" i="1"/>
  <c r="H68" i="1" l="1"/>
  <c r="I68" i="1" s="1"/>
  <c r="A70" i="1"/>
  <c r="I67" i="1"/>
  <c r="A71" i="1" l="1"/>
  <c r="F70" i="1"/>
  <c r="F69" i="1"/>
  <c r="H69" i="1" s="1"/>
  <c r="F73" i="1" l="1"/>
  <c r="I69" i="1"/>
  <c r="H70" i="1"/>
  <c r="H71" i="1" l="1"/>
  <c r="I70" i="1"/>
  <c r="I71" i="1" l="1"/>
  <c r="I72" i="1"/>
  <c r="I7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<sst xmlns="http://schemas.openxmlformats.org/spreadsheetml/2006/main" count="97" uniqueCount="87">
  <si>
    <t>Texas Health 401(k) Retirement Plan</t>
  </si>
  <si>
    <t xml:space="preserve">The Texas Health 401(k) Retirement Plan is designed to help you save for your future. Through contributions to your account, you build income for retirement. </t>
  </si>
  <si>
    <t xml:space="preserve">You can contribute to the Plan in before-tax dollars and/or make Roth 401(k) after-tax contributions to the Plan. Texas Health will generously match a portion of each </t>
  </si>
  <si>
    <t>of your pay each pay period.</t>
  </si>
  <si>
    <t>or model your own contribution goal.</t>
  </si>
  <si>
    <t>Maximum Employer Match</t>
  </si>
  <si>
    <t>Starting On Paycheck =</t>
  </si>
  <si>
    <t>401(k) Contribution =</t>
  </si>
  <si>
    <t xml:space="preserve">% of Elig Pay Matched  = </t>
  </si>
  <si>
    <t>Contribution =</t>
  </si>
  <si>
    <t>Change On Paycheck =</t>
  </si>
  <si>
    <t>New 401(k) Contribution =</t>
  </si>
  <si>
    <t>Paycheck #</t>
  </si>
  <si>
    <t>Employee</t>
  </si>
  <si>
    <t>Employer</t>
  </si>
  <si>
    <t>Emp'ee Pre-Cal</t>
  </si>
  <si>
    <t>Emp'er Pre-Cal</t>
  </si>
  <si>
    <t>Employer*</t>
  </si>
  <si>
    <t xml:space="preserve"> </t>
  </si>
  <si>
    <t>Total</t>
  </si>
  <si>
    <t xml:space="preserve">Note:  This is an estimate.  Changes in pay will impact this calculation; therefore, it is important to monitor your 401(k) contributions to ensure your savings goals are achieved.  </t>
  </si>
  <si>
    <t xml:space="preserve">    on contributions or tax effects of participation.</t>
  </si>
  <si>
    <t xml:space="preserve">   To change your deferral election, log onto www.netbenefits.com /thr or call Fidelity at 1-800-343-0860.  No employee of Texas Health is responsible for advising you </t>
  </si>
  <si>
    <t xml:space="preserve">Use this calculator to determine the percentage needed to get as close to the IRS limit for the year without going over,                      </t>
  </si>
  <si>
    <t>You may need to adjust your percentage during the year to reach your goal; this is only an estimate.</t>
  </si>
  <si>
    <r>
      <t xml:space="preserve">Step 1: Input your personal information in the </t>
    </r>
    <r>
      <rPr>
        <b/>
        <sz val="10"/>
        <color indexed="53"/>
        <rFont val="Arial"/>
        <family val="2"/>
      </rPr>
      <t>Orange highlighted cells.</t>
    </r>
  </si>
  <si>
    <r>
      <rPr>
        <b/>
        <sz val="10"/>
        <rFont val="Arial"/>
        <family val="2"/>
      </rPr>
      <t xml:space="preserve">Step 2: View the % in the </t>
    </r>
    <r>
      <rPr>
        <b/>
        <sz val="10"/>
        <color indexed="17"/>
        <rFont val="Arial"/>
        <family val="2"/>
      </rPr>
      <t>Green highlighted cells</t>
    </r>
    <r>
      <rPr>
        <b/>
        <sz val="10"/>
        <color indexed="11"/>
        <rFont val="Arial"/>
        <family val="2"/>
      </rPr>
      <t xml:space="preserve"> </t>
    </r>
    <r>
      <rPr>
        <b/>
        <sz val="10"/>
        <rFont val="Arial"/>
        <family val="2"/>
      </rPr>
      <t>to see the percent that will get you as close to the IRS limit without going over based on your age.</t>
    </r>
  </si>
  <si>
    <t xml:space="preserve">                                       5 years of service, but less than 10 years of service - $1 for each dollar you contribute, up to 6%</t>
  </si>
  <si>
    <t xml:space="preserve">                                       10 or more years of service $1.25 for each dollar you contribute, up to 6%</t>
  </si>
  <si>
    <t>*After 6 months of service, Texas Health matches employee’s contributions up to 6% of pay.  You must contribute at least 2% to receive match.</t>
  </si>
  <si>
    <t>Employer Match Information</t>
  </si>
  <si>
    <t>Texas Health will generously match a portion of each dollar you save, up to the first 6% of pay. The match is made each pay period, and the amount of match depends on your years of service. To receive the match, you must have at least 6 months of service, and contribute at least 2% of your pay each pay period. To receive the maximum match, you must contribute at least 6% of your pay each pay period.</t>
  </si>
  <si>
    <t>Employer Match Schedule</t>
  </si>
  <si>
    <t xml:space="preserve"> If your years of service with Texas Health equal:</t>
  </si>
  <si>
    <t>For each $1 you contribute up to 6%, Texas Health adds:</t>
  </si>
  <si>
    <t>6 months but less than 5 years</t>
  </si>
  <si>
    <t>5 years but less than 10 years</t>
  </si>
  <si>
    <t>10 or more years</t>
  </si>
  <si>
    <t>Less than 5 Years of Service</t>
  </si>
  <si>
    <t>5 Years of Service, but less than 10 Years of Service</t>
  </si>
  <si>
    <t>10 or more Years of Service</t>
  </si>
  <si>
    <t xml:space="preserve">Additional Match Information </t>
  </si>
  <si>
    <r>
      <rPr>
        <b/>
        <sz val="10"/>
        <color indexed="8"/>
        <rFont val="Arial"/>
        <family val="2"/>
      </rPr>
      <t>o</t>
    </r>
    <r>
      <rPr>
        <sz val="10"/>
        <color indexed="8"/>
        <rFont val="Arial"/>
        <family val="2"/>
      </rPr>
      <t xml:space="preserve"> Employees must have 6 months of service and contribute at least 2% to receive the match.</t>
    </r>
  </si>
  <si>
    <r>
      <rPr>
        <b/>
        <sz val="10"/>
        <color indexed="8"/>
        <rFont val="Arial"/>
        <family val="2"/>
      </rPr>
      <t>o</t>
    </r>
    <r>
      <rPr>
        <sz val="10"/>
        <color indexed="8"/>
        <rFont val="Arial"/>
        <family val="2"/>
      </rPr>
      <t xml:space="preserve"> In order to receive the employer match, an employee contribution must be made. If an employee maxes out on the employee contribution, the match stops. If an employee reaches the match limit before they reach the employee deferral limit, the match stops and the employee contribution continues until the employee reaches the IRS employee deferral limit.</t>
    </r>
  </si>
  <si>
    <t>Vesting</t>
  </si>
  <si>
    <t>Vesting refers to your ownership of the money in your account. You are always 100% vested in your own contributions (both before-tax and Roth), rollovers from other employer plans or conduit IRA, and investment returns on these amounts. You become vested in Texas Health’s matching contributions, any forfeitures allocated to your account, and the investment returns on those contributions based on your years of service</t>
  </si>
  <si>
    <t>Your vesting in the Texas Health match is:</t>
  </si>
  <si>
    <t>Less than 2</t>
  </si>
  <si>
    <t>None</t>
  </si>
  <si>
    <t>2 but less than 3</t>
  </si>
  <si>
    <t>3 but less than 4</t>
  </si>
  <si>
    <t>4 but less than 5</t>
  </si>
  <si>
    <t>5 or more</t>
  </si>
  <si>
    <t>Optional Step: To choose another percentage or to see the impact of changing your percentage during the year, fill in the Yellow highlighted cells.</t>
  </si>
  <si>
    <t>you must have at least 6 months of service and contribute at least 2% of your pay each pay period. To receive the maximum match, you must contribute at least 6%</t>
  </si>
  <si>
    <r>
      <rPr>
        <b/>
        <sz val="10"/>
        <rFont val="Arial"/>
        <family val="2"/>
      </rPr>
      <t>The match levels are</t>
    </r>
    <r>
      <rPr>
        <sz val="10"/>
        <rFont val="Arial"/>
        <family val="2"/>
      </rPr>
      <t xml:space="preserve">:     6 months of service, but less than 5 years of service - .75 cents for each dollar you contribute up to 6% </t>
    </r>
  </si>
  <si>
    <t>PP #</t>
  </si>
  <si>
    <t>Pay Period
Begin Date</t>
  </si>
  <si>
    <t>Pay Period
End 
Date</t>
  </si>
  <si>
    <t>Pay
Day</t>
  </si>
  <si>
    <t>PP #  Left</t>
  </si>
  <si>
    <r>
      <t xml:space="preserve">dollar you save, up to </t>
    </r>
    <r>
      <rPr>
        <b/>
        <sz val="10"/>
        <rFont val="Arial"/>
        <family val="2"/>
      </rPr>
      <t>the first 6% of pay</t>
    </r>
    <r>
      <rPr>
        <sz val="10"/>
        <rFont val="Arial"/>
        <family val="2"/>
      </rPr>
      <t>. The match is made each pay period, and the amount of match depends on your years of service. To receive the match</t>
    </r>
  </si>
  <si>
    <t>Step 3: You can change your 401(k) contributions anytime during the year by  logging onto www.netbenefits.com/thr or calling Fidelity at 1-800-343-0860.</t>
  </si>
  <si>
    <t>Be sure to monitor your 401(k) deferrals during the year to ensure your saving goals are met.</t>
  </si>
  <si>
    <t>You can also schedule a 1:1 session with a Fidelity Advisor to help with your retirement planning by calling Fidelity at 1-800-343-0860.</t>
  </si>
  <si>
    <t>Your age</t>
  </si>
  <si>
    <r>
      <rPr>
        <b/>
        <sz val="10"/>
        <rFont val="Arial"/>
        <family val="2"/>
      </rPr>
      <t>Enter your completed years of service</t>
    </r>
    <r>
      <rPr>
        <b/>
        <i/>
        <sz val="10"/>
        <rFont val="Arial"/>
        <family val="2"/>
      </rPr>
      <t xml:space="preserve"> (If your years of service are less than one year enter it in months, 0.5 = 6 months)</t>
    </r>
  </si>
  <si>
    <r>
      <t xml:space="preserve">Editable Alternate Scenarios 
</t>
    </r>
    <r>
      <rPr>
        <sz val="10"/>
        <rFont val="Arial"/>
        <family val="2"/>
      </rPr>
      <t>Model your own contribution - 
enter % you would like to model in highlighted cells</t>
    </r>
  </si>
  <si>
    <t>2026 401(k) Contribution Estimator</t>
  </si>
  <si>
    <t>Estimated percentage to maximize contributions without going over IRS Maximum annual limit:</t>
  </si>
  <si>
    <t xml:space="preserve">Estimated amount that will come out of each paycheck if you maximize your contributions </t>
  </si>
  <si>
    <t xml:space="preserve">Estimated Total Employee Contribution in 2026 (if you contribute the percentage shown in the green cell*) </t>
  </si>
  <si>
    <r>
      <t xml:space="preserve">Your eligible annual salary </t>
    </r>
    <r>
      <rPr>
        <b/>
        <i/>
        <sz val="10"/>
        <color indexed="8"/>
        <rFont val="Arial"/>
        <family val="2"/>
      </rPr>
      <t>(Note - PTO Conversion and Donations are eligible 401(k) compensation.)</t>
    </r>
  </si>
  <si>
    <t>2026 Payroll Schedule</t>
  </si>
  <si>
    <t>* Hours Worked</t>
  </si>
  <si>
    <t>Q1</t>
  </si>
  <si>
    <t>Q2</t>
  </si>
  <si>
    <t>Q3</t>
  </si>
  <si>
    <t>Q4</t>
  </si>
  <si>
    <t>2026 Employer Match Limits</t>
  </si>
  <si>
    <r>
      <rPr>
        <b/>
        <sz val="10"/>
        <color indexed="8"/>
        <rFont val="Arial"/>
        <family val="2"/>
      </rPr>
      <t>o</t>
    </r>
    <r>
      <rPr>
        <sz val="10"/>
        <color indexed="8"/>
        <rFont val="Arial"/>
        <family val="2"/>
      </rPr>
      <t xml:space="preserve"> The employer match limit is calculated using the current IRS maximum eligible compensation limit of $360,000, then applying the match formula based on years of service.</t>
    </r>
  </si>
  <si>
    <r>
      <t xml:space="preserve">Pre-calculated Scenario 
</t>
    </r>
    <r>
      <rPr>
        <sz val="10"/>
        <rFont val="Arial"/>
        <family val="2"/>
      </rPr>
      <t>The information in this table shows you the per pay period breakdown of contributions to maximize the amount to your 401(k) without going over the IRS limit during the 2026 plan year based on your inputs above.</t>
    </r>
  </si>
  <si>
    <t xml:space="preserve">*Note this annual goal may be less than $24,500 (or $32,500 if 50-59 or $35,750 if you are between 60-63, or 32,500 if 64 or older) because half percentages are not allowed. </t>
  </si>
  <si>
    <r>
      <t xml:space="preserve">IRS Annual Limit you may contribute in 2026 </t>
    </r>
    <r>
      <rPr>
        <sz val="9"/>
        <color indexed="8"/>
        <rFont val="Arial"/>
        <family val="2"/>
      </rPr>
      <t>(Under age 50:  $24,500; Age 50 to 59:  $32,500; Age 60-63:  $35,750; Age 64+:  $32,500)</t>
    </r>
  </si>
  <si>
    <t>Note:  2026 has 27 pay periods instead of the usual 26.  401K will be deducted across all  27 pay periods.</t>
  </si>
  <si>
    <r>
      <t xml:space="preserve">Employer Match </t>
    </r>
    <r>
      <rPr>
        <sz val="9"/>
        <rFont val="Arial"/>
        <family val="2"/>
      </rPr>
      <t>($.75 for 6 months-5 years of service; $1.00 for 5-9 years of service;  $1.25 for 10+ years of service)</t>
    </r>
  </si>
  <si>
    <t xml:space="preserve">   (Refer to the Additional Information Tab to determine what the paycheck number is, the vesting schedule, and maximum match limits.)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</si>
</sst>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_);[Red]\(&quot;$&quot;#,##0.00\)"/>
    <numFmt numFmtId="44" formatCode="_(&quot;$&quot;* #,##0.00_);_(&quot;$&quot;* \(#,##0.00\);_(&quot;$&quot;* &quot;-&quot;??_);_(@_)"/>
    <numFmt numFmtId="43" formatCode="_(* #,##0.00_);_(* \(#,##0.00\);_(* &quot;-&quot;??_);_(@_)"/>
    <numFmt numFmtId="164" formatCode="&quot;$&quot;#,##0"/>
    <numFmt numFmtId="165" formatCode="_(* #,##0_);_(* \(#,##0\);_(* &quot;-&quot;??_);_(@_)"/>
    <numFmt numFmtId="166" formatCode="0.0%"/>
    <numFmt numFmtId="167" formatCode="&quot;$&quot;#,##0.00"/>
    <numFmt numFmtId="168" formatCode="mm/dd/yy;@"/>
    <numFmt numFmtId="169" formatCode="mm/dd/yyyy"/>
    <numFmt numFmtId="170" formatCode="#,##0.0_);\(#,##0.0\)"/>
  </numFmts>
  <fonts count="40" x14ac:knownFonts="1">
    <font>
      <sz val="11"/>
      <color theme="1"/>
      <name val="Calibri"/>
      <family val="2"/>
      <scheme val="minor"/>
    </font>
    <font>
      <b/>
      <sz val="16"/>
      <name val="Arial"/>
      <family val="2"/>
    </font>
    <font>
      <b/>
      <sz val="14"/>
      <name val="Arial"/>
      <family val="2"/>
    </font>
    <font>
      <sz val="10"/>
      <name val="Arial"/>
      <family val="2"/>
    </font>
    <font>
      <b/>
      <sz val="10"/>
      <name val="Arial"/>
      <family val="2"/>
    </font>
    <font>
      <b/>
      <sz val="11"/>
      <name val="Arial"/>
      <family val="2"/>
    </font>
    <font>
      <b/>
      <i/>
      <sz val="10"/>
      <name val="Arial"/>
      <family val="2"/>
    </font>
    <font>
      <sz val="9"/>
      <color indexed="8"/>
      <name val="Arial"/>
      <family val="2"/>
    </font>
    <font>
      <sz val="9"/>
      <name val="Arial"/>
      <family val="2"/>
    </font>
    <font>
      <i/>
      <sz val="10"/>
      <name val="Arial"/>
      <family val="2"/>
    </font>
    <font>
      <sz val="8"/>
      <name val="Arial"/>
      <family val="2"/>
    </font>
    <font>
      <b/>
      <sz val="10"/>
      <color indexed="53"/>
      <name val="Arial"/>
      <family val="2"/>
    </font>
    <font>
      <b/>
      <sz val="10"/>
      <color indexed="11"/>
      <name val="Arial"/>
      <family val="2"/>
    </font>
    <font>
      <b/>
      <sz val="10"/>
      <color indexed="17"/>
      <name val="Arial"/>
      <family val="2"/>
    </font>
    <font>
      <sz val="10"/>
      <color indexed="8"/>
      <name val="Arial"/>
      <family val="2"/>
    </font>
    <font>
      <b/>
      <sz val="10"/>
      <color indexed="8"/>
      <name val="Arial"/>
      <family val="2"/>
    </font>
    <font>
      <b/>
      <i/>
      <sz val="10"/>
      <color indexed="8"/>
      <name val="Arial"/>
      <family val="2"/>
    </font>
    <font>
      <sz val="11"/>
      <color theme="1"/>
      <name val="Calibri"/>
      <family val="2"/>
      <scheme val="minor"/>
    </font>
    <font>
      <b/>
      <i/>
      <sz val="10"/>
      <color theme="1"/>
      <name val="Arial"/>
      <family val="2"/>
    </font>
    <font>
      <b/>
      <sz val="9"/>
      <color rgb="FF000000"/>
      <name val="Arial"/>
      <family val="2"/>
    </font>
    <font>
      <b/>
      <sz val="10"/>
      <color rgb="FF00CC00"/>
      <name val="Arial"/>
      <family val="2"/>
    </font>
    <font>
      <sz val="10"/>
      <color theme="1"/>
      <name val="Arial"/>
      <family val="2"/>
    </font>
    <font>
      <sz val="12"/>
      <color theme="1"/>
      <name val="Calibri"/>
      <family val="2"/>
      <scheme val="minor"/>
    </font>
    <font>
      <b/>
      <sz val="9"/>
      <name val="Calibri"/>
      <family val="2"/>
      <scheme val="minor"/>
    </font>
    <font>
      <sz val="11"/>
      <color theme="4"/>
      <name val="Calibri"/>
      <family val="2"/>
      <scheme val="minor"/>
    </font>
    <font>
      <b/>
      <sz val="11"/>
      <name val="Calibri"/>
      <family val="2"/>
      <scheme val="minor"/>
    </font>
    <font>
      <sz val="11"/>
      <name val="Calibri"/>
      <family val="2"/>
      <scheme val="minor"/>
    </font>
    <font>
      <i/>
      <sz val="11"/>
      <name val="Calibri"/>
      <family val="2"/>
      <scheme val="minor"/>
    </font>
    <font>
      <b/>
      <i/>
      <sz val="10"/>
      <color theme="0"/>
      <name val="Arial"/>
      <family val="2"/>
    </font>
    <font>
      <b/>
      <sz val="10"/>
      <color rgb="FF7030A0"/>
      <name val="Arial"/>
      <family val="2"/>
    </font>
    <font>
      <b/>
      <sz val="12"/>
      <color theme="0"/>
      <name val="Arial"/>
      <family val="2"/>
    </font>
    <font>
      <b/>
      <sz val="10"/>
      <color theme="1"/>
      <name val="Arial"/>
      <family val="2"/>
    </font>
    <font>
      <b/>
      <sz val="16"/>
      <color theme="0"/>
      <name val="Arial"/>
      <family val="2"/>
    </font>
    <font>
      <b/>
      <sz val="12"/>
      <color theme="0"/>
      <name val="Calibri"/>
      <family val="2"/>
      <scheme val="minor"/>
    </font>
    <font>
      <sz val="8"/>
      <color rgb="FF242424"/>
      <name val="Consolas"/>
      <family val="3"/>
    </font>
    <font>
      <b/>
      <i/>
      <sz val="10"/>
      <color rgb="FF0070C0"/>
      <name val="Arial"/>
      <family val="2"/>
    </font>
    <font>
      <sz val="11"/>
      <color rgb="FFFF0000"/>
      <name val="Calibri"/>
      <family val="2"/>
      <scheme val="minor"/>
    </font>
    <font>
      <b/>
      <sz val="11"/>
      <color theme="1"/>
      <name val="Calibri"/>
      <family val="2"/>
      <scheme val="minor"/>
    </font>
    <font>
      <b/>
      <sz val="10"/>
      <color rgb="FFFF0000"/>
      <name val="Arial"/>
      <family val="2"/>
    </font>
    <font>
      <b/>
      <i/>
      <sz val="10"/>
      <color rgb="FF00B050"/>
      <name val="Arial"/>
      <family val="2"/>
    </font>
  </fonts>
  <fills count="12">
    <fill>
      <patternFill patternType="none"/>
    </fill>
    <fill>
      <patternFill patternType="gray125"/>
    </fill>
    <fill>
      <patternFill patternType="solid">
        <fgColor rgb="FFFFFF99"/>
        <bgColor indexed="64"/>
      </patternFill>
    </fill>
    <fill>
      <patternFill patternType="solid">
        <fgColor rgb="FF92D050"/>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rgb="FF00539B"/>
        <bgColor indexed="64"/>
      </patternFill>
    </fill>
    <fill>
      <patternFill patternType="solid">
        <fgColor rgb="FF00A160"/>
        <bgColor indexed="64"/>
      </patternFill>
    </fill>
    <fill>
      <patternFill patternType="solid">
        <fgColor theme="8" tint="-0.249977111117893"/>
        <bgColor indexed="64"/>
      </patternFill>
    </fill>
    <fill>
      <patternFill patternType="solid">
        <fgColor theme="8" tint="0.59999389629810485"/>
        <bgColor indexed="64"/>
      </patternFill>
    </fill>
  </fills>
  <borders count="52">
    <border>
      <left/>
      <right/>
      <top/>
      <bottom/>
      <diagonal/>
    </border>
    <border>
      <left/>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s>
  <cellStyleXfs count="4">
    <xf numFmtId="0" fontId="0" fillId="0" borderId="0"/>
    <xf numFmtId="43" fontId="17" fillId="0" borderId="0" applyFont="0" applyFill="0" applyBorder="0" applyAlignment="0" applyProtection="0"/>
    <xf numFmtId="44" fontId="17" fillId="0" borderId="0" applyFont="0" applyFill="0" applyBorder="0" applyAlignment="0" applyProtection="0"/>
    <xf numFmtId="9" fontId="17" fillId="0" borderId="0" applyFont="0" applyFill="0" applyBorder="0" applyAlignment="0" applyProtection="0"/>
  </cellStyleXfs>
  <cellXfs count="183">
    <xf numFmtId="0" fontId="0" fillId="0" borderId="0" xfId="0"/>
    <xf numFmtId="0" fontId="4" fillId="6" borderId="22" xfId="0" applyFont="1" applyFill="1" applyBorder="1" applyAlignment="1">
      <alignment horizontal="center" wrapText="1"/>
    </xf>
    <xf numFmtId="0" fontId="3" fillId="0" borderId="24" xfId="0" applyFont="1" applyBorder="1" applyAlignment="1">
      <alignment horizontal="center"/>
    </xf>
    <xf numFmtId="0" fontId="21" fillId="0" borderId="0" xfId="0" applyFont="1"/>
    <xf numFmtId="0" fontId="21" fillId="0" borderId="24" xfId="0" applyFont="1" applyBorder="1"/>
    <xf numFmtId="44" fontId="21" fillId="0" borderId="24" xfId="2" applyFont="1" applyFill="1" applyBorder="1"/>
    <xf numFmtId="44" fontId="21" fillId="0" borderId="0" xfId="2" applyFont="1"/>
    <xf numFmtId="44" fontId="21" fillId="0" borderId="0" xfId="0" applyNumberFormat="1" applyFont="1"/>
    <xf numFmtId="44" fontId="21" fillId="0" borderId="0" xfId="2" applyFont="1" applyFill="1" applyBorder="1"/>
    <xf numFmtId="0" fontId="4" fillId="6" borderId="24" xfId="0" applyFont="1" applyFill="1" applyBorder="1" applyAlignment="1">
      <alignment horizontal="center" wrapText="1"/>
    </xf>
    <xf numFmtId="169" fontId="0" fillId="0" borderId="0" xfId="0" applyNumberFormat="1"/>
    <xf numFmtId="0" fontId="0" fillId="0" borderId="0" xfId="0" applyProtection="1">
      <protection hidden="1"/>
    </xf>
    <xf numFmtId="0" fontId="3" fillId="0" borderId="0" xfId="0" applyFont="1" applyProtection="1">
      <protection hidden="1"/>
    </xf>
    <xf numFmtId="0" fontId="2" fillId="0" borderId="1" xfId="0" applyFont="1" applyBorder="1" applyProtection="1">
      <protection hidden="1"/>
    </xf>
    <xf numFmtId="0" fontId="0" fillId="0" borderId="1" xfId="0" applyBorder="1" applyProtection="1">
      <protection hidden="1"/>
    </xf>
    <xf numFmtId="0" fontId="5" fillId="0" borderId="0" xfId="0" applyFont="1" applyAlignment="1" applyProtection="1">
      <alignment horizontal="center" wrapText="1"/>
      <protection hidden="1"/>
    </xf>
    <xf numFmtId="0" fontId="34" fillId="0" borderId="0" xfId="0" applyFont="1" applyProtection="1">
      <protection hidden="1"/>
    </xf>
    <xf numFmtId="0" fontId="4" fillId="0" borderId="0" xfId="0" applyFont="1" applyProtection="1">
      <protection hidden="1"/>
    </xf>
    <xf numFmtId="0" fontId="20" fillId="0" borderId="0" xfId="0" applyFont="1" applyProtection="1">
      <protection hidden="1"/>
    </xf>
    <xf numFmtId="0" fontId="25" fillId="0" borderId="0" xfId="0" applyFont="1" applyProtection="1">
      <protection hidden="1"/>
    </xf>
    <xf numFmtId="0" fontId="24" fillId="0" borderId="0" xfId="0" applyFont="1" applyProtection="1">
      <protection hidden="1"/>
    </xf>
    <xf numFmtId="0" fontId="35" fillId="0" borderId="0" xfId="0" applyFont="1" applyProtection="1">
      <protection hidden="1"/>
    </xf>
    <xf numFmtId="0" fontId="38" fillId="0" borderId="0" xfId="0" applyFont="1" applyProtection="1">
      <protection hidden="1"/>
    </xf>
    <xf numFmtId="0" fontId="36" fillId="0" borderId="0" xfId="0" applyFont="1" applyProtection="1">
      <protection hidden="1"/>
    </xf>
    <xf numFmtId="0" fontId="18" fillId="0" borderId="2" xfId="0" applyFont="1" applyBorder="1" applyProtection="1">
      <protection hidden="1"/>
    </xf>
    <xf numFmtId="0" fontId="6" fillId="0" borderId="3" xfId="0" applyFont="1" applyBorder="1" applyProtection="1">
      <protection hidden="1"/>
    </xf>
    <xf numFmtId="164" fontId="28" fillId="7" borderId="8" xfId="2" applyNumberFormat="1" applyFont="1" applyFill="1" applyBorder="1" applyProtection="1">
      <protection locked="0" hidden="1"/>
    </xf>
    <xf numFmtId="164" fontId="3" fillId="4" borderId="0" xfId="2" applyNumberFormat="1" applyFont="1" applyFill="1" applyBorder="1" applyProtection="1">
      <protection hidden="1"/>
    </xf>
    <xf numFmtId="0" fontId="6" fillId="0" borderId="14" xfId="0" applyFont="1" applyBorder="1" applyProtection="1">
      <protection hidden="1"/>
    </xf>
    <xf numFmtId="0" fontId="6" fillId="0" borderId="4" xfId="0" applyFont="1" applyBorder="1" applyProtection="1">
      <protection hidden="1"/>
    </xf>
    <xf numFmtId="165" fontId="28" fillId="7" borderId="11" xfId="1" applyNumberFormat="1" applyFont="1" applyFill="1" applyBorder="1" applyProtection="1">
      <protection locked="0" hidden="1"/>
    </xf>
    <xf numFmtId="165" fontId="3" fillId="4" borderId="0" xfId="1" applyNumberFormat="1" applyFont="1" applyFill="1" applyBorder="1" applyProtection="1">
      <protection hidden="1"/>
    </xf>
    <xf numFmtId="0" fontId="6" fillId="0" borderId="38" xfId="0" applyFont="1" applyBorder="1" applyProtection="1">
      <protection hidden="1"/>
    </xf>
    <xf numFmtId="0" fontId="26" fillId="0" borderId="39" xfId="0" applyFont="1" applyBorder="1" applyProtection="1">
      <protection hidden="1"/>
    </xf>
    <xf numFmtId="0" fontId="27" fillId="0" borderId="39" xfId="0" applyFont="1" applyBorder="1" applyProtection="1">
      <protection hidden="1"/>
    </xf>
    <xf numFmtId="164" fontId="3" fillId="4" borderId="0" xfId="3" applyNumberFormat="1" applyFont="1" applyFill="1" applyBorder="1" applyProtection="1">
      <protection hidden="1"/>
    </xf>
    <xf numFmtId="0" fontId="21" fillId="0" borderId="14" xfId="0" applyFont="1" applyBorder="1" applyProtection="1">
      <protection hidden="1"/>
    </xf>
    <xf numFmtId="0" fontId="0" fillId="0" borderId="4" xfId="0" applyBorder="1" applyProtection="1">
      <protection hidden="1"/>
    </xf>
    <xf numFmtId="164" fontId="0" fillId="0" borderId="11" xfId="0" applyNumberFormat="1" applyBorder="1" applyAlignment="1" applyProtection="1">
      <alignment horizontal="right"/>
      <protection hidden="1"/>
    </xf>
    <xf numFmtId="164" fontId="0" fillId="4" borderId="0" xfId="0" applyNumberFormat="1" applyFill="1" applyProtection="1">
      <protection hidden="1"/>
    </xf>
    <xf numFmtId="0" fontId="3" fillId="0" borderId="14" xfId="0" applyFont="1" applyBorder="1" applyAlignment="1" applyProtection="1">
      <alignment horizontal="left"/>
      <protection hidden="1"/>
    </xf>
    <xf numFmtId="164" fontId="17" fillId="0" borderId="4" xfId="3" applyNumberFormat="1" applyFont="1" applyFill="1" applyBorder="1" applyProtection="1">
      <protection hidden="1"/>
    </xf>
    <xf numFmtId="167" fontId="0" fillId="4" borderId="0" xfId="0" applyNumberFormat="1" applyFill="1" applyProtection="1">
      <protection hidden="1"/>
    </xf>
    <xf numFmtId="166" fontId="4" fillId="3" borderId="11" xfId="3" applyNumberFormat="1" applyFont="1" applyFill="1" applyBorder="1" applyProtection="1">
      <protection hidden="1"/>
    </xf>
    <xf numFmtId="166" fontId="3" fillId="4" borderId="0" xfId="3" applyNumberFormat="1" applyFont="1" applyFill="1" applyBorder="1" applyProtection="1">
      <protection hidden="1"/>
    </xf>
    <xf numFmtId="167" fontId="17" fillId="0" borderId="11" xfId="3" applyNumberFormat="1" applyFont="1" applyFill="1" applyBorder="1" applyProtection="1">
      <protection hidden="1"/>
    </xf>
    <xf numFmtId="167" fontId="3" fillId="4" borderId="0" xfId="3" applyNumberFormat="1" applyFont="1" applyFill="1" applyBorder="1" applyProtection="1">
      <protection hidden="1"/>
    </xf>
    <xf numFmtId="164" fontId="17" fillId="0" borderId="11" xfId="3" applyNumberFormat="1" applyFont="1" applyFill="1" applyBorder="1" applyProtection="1">
      <protection hidden="1"/>
    </xf>
    <xf numFmtId="0" fontId="3" fillId="0" borderId="38" xfId="0" applyFont="1" applyBorder="1" applyAlignment="1" applyProtection="1">
      <alignment horizontal="left"/>
      <protection hidden="1"/>
    </xf>
    <xf numFmtId="0" fontId="0" fillId="0" borderId="39" xfId="0" applyBorder="1" applyProtection="1">
      <protection hidden="1"/>
    </xf>
    <xf numFmtId="164" fontId="17" fillId="0" borderId="39" xfId="3" applyNumberFormat="1" applyFont="1" applyFill="1" applyBorder="1" applyProtection="1">
      <protection hidden="1"/>
    </xf>
    <xf numFmtId="164" fontId="0" fillId="0" borderId="28" xfId="0" applyNumberFormat="1" applyBorder="1" applyProtection="1">
      <protection hidden="1"/>
    </xf>
    <xf numFmtId="0" fontId="39" fillId="0" borderId="0" xfId="0" applyFont="1" applyProtection="1">
      <protection hidden="1"/>
    </xf>
    <xf numFmtId="0" fontId="9" fillId="0" borderId="0" xfId="0" applyFont="1" applyProtection="1">
      <protection hidden="1"/>
    </xf>
    <xf numFmtId="0" fontId="0" fillId="0" borderId="0" xfId="0" applyAlignment="1" applyProtection="1">
      <alignment horizontal="left" wrapText="1"/>
      <protection hidden="1"/>
    </xf>
    <xf numFmtId="0" fontId="0" fillId="0" borderId="0" xfId="0" applyAlignment="1" applyProtection="1">
      <alignment wrapText="1"/>
      <protection hidden="1"/>
    </xf>
    <xf numFmtId="0" fontId="0" fillId="0" borderId="0" xfId="0" applyAlignment="1" applyProtection="1">
      <alignment horizontal="left"/>
      <protection hidden="1"/>
    </xf>
    <xf numFmtId="0" fontId="0" fillId="0" borderId="5" xfId="0" applyBorder="1" applyProtection="1">
      <protection hidden="1"/>
    </xf>
    <xf numFmtId="9" fontId="0" fillId="0" borderId="6" xfId="0" applyNumberFormat="1" applyBorder="1" applyAlignment="1" applyProtection="1">
      <alignment horizontal="center"/>
      <protection hidden="1"/>
    </xf>
    <xf numFmtId="9" fontId="0" fillId="0" borderId="21" xfId="0" applyNumberFormat="1" applyBorder="1" applyAlignment="1" applyProtection="1">
      <alignment horizontal="center"/>
      <protection hidden="1"/>
    </xf>
    <xf numFmtId="0" fontId="6" fillId="0" borderId="9" xfId="0" applyFont="1" applyBorder="1" applyAlignment="1" applyProtection="1">
      <alignment horizontal="center"/>
      <protection hidden="1"/>
    </xf>
    <xf numFmtId="0" fontId="0" fillId="5" borderId="22" xfId="0" applyFill="1" applyBorder="1" applyAlignment="1" applyProtection="1">
      <alignment horizontal="center"/>
      <protection hidden="1"/>
    </xf>
    <xf numFmtId="1" fontId="6" fillId="2" borderId="10" xfId="3" applyNumberFormat="1" applyFont="1" applyFill="1" applyBorder="1" applyAlignment="1" applyProtection="1">
      <alignment horizontal="center"/>
      <protection locked="0" hidden="1"/>
    </xf>
    <xf numFmtId="0" fontId="0" fillId="0" borderId="6" xfId="0" applyBorder="1" applyAlignment="1" applyProtection="1">
      <alignment horizontal="center"/>
      <protection hidden="1"/>
    </xf>
    <xf numFmtId="9" fontId="0" fillId="0" borderId="23" xfId="0" applyNumberFormat="1" applyBorder="1" applyAlignment="1" applyProtection="1">
      <alignment horizontal="center"/>
      <protection hidden="1"/>
    </xf>
    <xf numFmtId="9" fontId="6" fillId="0" borderId="12" xfId="0" applyNumberFormat="1" applyFont="1" applyBorder="1" applyAlignment="1" applyProtection="1">
      <alignment horizontal="center"/>
      <protection hidden="1"/>
    </xf>
    <xf numFmtId="0" fontId="0" fillId="5" borderId="24" xfId="0" applyFill="1" applyBorder="1" applyAlignment="1" applyProtection="1">
      <alignment horizontal="center"/>
      <protection hidden="1"/>
    </xf>
    <xf numFmtId="9" fontId="6" fillId="2" borderId="13" xfId="0" applyNumberFormat="1" applyFont="1" applyFill="1" applyBorder="1" applyAlignment="1" applyProtection="1">
      <alignment horizontal="center"/>
      <protection locked="0" hidden="1"/>
    </xf>
    <xf numFmtId="0" fontId="0" fillId="0" borderId="23" xfId="0" applyBorder="1" applyAlignment="1" applyProtection="1">
      <alignment horizontal="center"/>
      <protection hidden="1"/>
    </xf>
    <xf numFmtId="0" fontId="3" fillId="0" borderId="18" xfId="0" applyFont="1" applyBorder="1" applyAlignment="1" applyProtection="1">
      <alignment horizontal="center"/>
      <protection hidden="1"/>
    </xf>
    <xf numFmtId="0" fontId="0" fillId="0" borderId="0" xfId="0" applyAlignment="1" applyProtection="1">
      <alignment horizontal="center"/>
      <protection hidden="1"/>
    </xf>
    <xf numFmtId="166" fontId="0" fillId="0" borderId="13" xfId="0" applyNumberFormat="1" applyBorder="1" applyAlignment="1" applyProtection="1">
      <alignment horizontal="center"/>
      <protection hidden="1"/>
    </xf>
    <xf numFmtId="0" fontId="4" fillId="3" borderId="19" xfId="0" applyFont="1" applyFill="1" applyBorder="1" applyAlignment="1" applyProtection="1">
      <alignment horizontal="center"/>
      <protection hidden="1"/>
    </xf>
    <xf numFmtId="9" fontId="4" fillId="3" borderId="19" xfId="0" applyNumberFormat="1" applyFont="1" applyFill="1" applyBorder="1" applyAlignment="1" applyProtection="1">
      <alignment horizontal="center"/>
      <protection hidden="1"/>
    </xf>
    <xf numFmtId="167" fontId="0" fillId="0" borderId="6" xfId="0" applyNumberFormat="1" applyBorder="1" applyProtection="1">
      <protection hidden="1"/>
    </xf>
    <xf numFmtId="167" fontId="0" fillId="0" borderId="23" xfId="0" applyNumberFormat="1" applyBorder="1" applyProtection="1">
      <protection hidden="1"/>
    </xf>
    <xf numFmtId="9" fontId="18" fillId="0" borderId="12" xfId="0" applyNumberFormat="1" applyFont="1" applyBorder="1" applyAlignment="1" applyProtection="1">
      <alignment horizontal="center"/>
      <protection hidden="1"/>
    </xf>
    <xf numFmtId="0" fontId="21" fillId="5" borderId="25" xfId="0" applyFont="1" applyFill="1" applyBorder="1" applyAlignment="1" applyProtection="1">
      <alignment horizontal="center"/>
      <protection hidden="1"/>
    </xf>
    <xf numFmtId="0" fontId="21" fillId="5" borderId="24" xfId="0" applyFont="1" applyFill="1" applyBorder="1" applyAlignment="1" applyProtection="1">
      <alignment horizontal="center"/>
      <protection hidden="1"/>
    </xf>
    <xf numFmtId="1" fontId="18" fillId="2" borderId="13" xfId="0" applyNumberFormat="1" applyFont="1" applyFill="1" applyBorder="1" applyAlignment="1" applyProtection="1">
      <alignment horizontal="center"/>
      <protection locked="0" hidden="1"/>
    </xf>
    <xf numFmtId="9" fontId="18" fillId="2" borderId="13" xfId="0" applyNumberFormat="1" applyFont="1" applyFill="1" applyBorder="1" applyAlignment="1" applyProtection="1">
      <alignment horizontal="center"/>
      <protection locked="0" hidden="1"/>
    </xf>
    <xf numFmtId="0" fontId="0" fillId="0" borderId="7" xfId="0" applyBorder="1" applyAlignment="1" applyProtection="1">
      <alignment horizontal="center"/>
      <protection hidden="1"/>
    </xf>
    <xf numFmtId="9" fontId="0" fillId="0" borderId="7" xfId="0" applyNumberFormat="1" applyBorder="1" applyAlignment="1" applyProtection="1">
      <alignment horizontal="center"/>
      <protection hidden="1"/>
    </xf>
    <xf numFmtId="0" fontId="3" fillId="0" borderId="16" xfId="0" applyFont="1" applyBorder="1" applyAlignment="1" applyProtection="1">
      <alignment horizontal="center"/>
      <protection hidden="1"/>
    </xf>
    <xf numFmtId="0" fontId="0" fillId="0" borderId="26" xfId="0" applyBorder="1" applyAlignment="1" applyProtection="1">
      <alignment horizontal="center"/>
      <protection hidden="1"/>
    </xf>
    <xf numFmtId="0" fontId="0" fillId="0" borderId="27" xfId="0" applyBorder="1" applyAlignment="1" applyProtection="1">
      <alignment horizontal="center"/>
      <protection hidden="1"/>
    </xf>
    <xf numFmtId="166" fontId="0" fillId="4" borderId="33" xfId="0" applyNumberFormat="1" applyFill="1" applyBorder="1" applyAlignment="1" applyProtection="1">
      <alignment horizontal="center"/>
      <protection hidden="1"/>
    </xf>
    <xf numFmtId="0" fontId="0" fillId="0" borderId="8" xfId="0" applyBorder="1" applyAlignment="1" applyProtection="1">
      <alignment horizontal="center"/>
      <protection hidden="1"/>
    </xf>
    <xf numFmtId="0" fontId="0" fillId="0" borderId="9" xfId="0" applyBorder="1" applyAlignment="1" applyProtection="1">
      <alignment horizontal="center"/>
      <protection hidden="1"/>
    </xf>
    <xf numFmtId="0" fontId="0" fillId="0" borderId="10" xfId="0" applyBorder="1" applyAlignment="1" applyProtection="1">
      <alignment horizontal="center"/>
      <protection hidden="1"/>
    </xf>
    <xf numFmtId="167" fontId="3" fillId="0" borderId="14" xfId="0" applyNumberFormat="1" applyFont="1" applyBorder="1" applyAlignment="1" applyProtection="1">
      <alignment horizontal="center"/>
      <protection hidden="1"/>
    </xf>
    <xf numFmtId="167" fontId="3" fillId="0" borderId="28" xfId="0" applyNumberFormat="1" applyFont="1" applyBorder="1" applyAlignment="1" applyProtection="1">
      <alignment horizontal="center"/>
      <protection hidden="1"/>
    </xf>
    <xf numFmtId="0" fontId="0" fillId="0" borderId="11" xfId="0" applyBorder="1" applyAlignment="1" applyProtection="1">
      <alignment horizontal="center"/>
      <protection hidden="1"/>
    </xf>
    <xf numFmtId="167" fontId="17" fillId="0" borderId="12" xfId="2" applyNumberFormat="1" applyFont="1" applyBorder="1" applyProtection="1">
      <protection hidden="1"/>
    </xf>
    <xf numFmtId="167" fontId="0" fillId="0" borderId="13" xfId="0" applyNumberFormat="1" applyBorder="1" applyProtection="1">
      <protection hidden="1"/>
    </xf>
    <xf numFmtId="167" fontId="17" fillId="0" borderId="14" xfId="2" applyNumberFormat="1" applyFont="1" applyBorder="1" applyProtection="1">
      <protection hidden="1"/>
    </xf>
    <xf numFmtId="167" fontId="17" fillId="0" borderId="13" xfId="2" applyNumberFormat="1" applyFont="1" applyBorder="1" applyProtection="1">
      <protection hidden="1"/>
    </xf>
    <xf numFmtId="167" fontId="3" fillId="0" borderId="0" xfId="0" applyNumberFormat="1" applyFont="1" applyProtection="1">
      <protection hidden="1"/>
    </xf>
    <xf numFmtId="167" fontId="0" fillId="0" borderId="0" xfId="0" applyNumberFormat="1" applyProtection="1">
      <protection hidden="1"/>
    </xf>
    <xf numFmtId="167" fontId="17" fillId="0" borderId="30" xfId="2" applyNumberFormat="1" applyFont="1" applyBorder="1" applyProtection="1">
      <protection hidden="1"/>
    </xf>
    <xf numFmtId="167" fontId="17" fillId="0" borderId="15" xfId="2" applyNumberFormat="1" applyFont="1" applyBorder="1" applyProtection="1">
      <protection hidden="1"/>
    </xf>
    <xf numFmtId="0" fontId="37" fillId="0" borderId="19" xfId="0" applyFont="1" applyBorder="1" applyAlignment="1" applyProtection="1">
      <alignment horizontal="center"/>
      <protection hidden="1"/>
    </xf>
    <xf numFmtId="167" fontId="37" fillId="0" borderId="20" xfId="0" applyNumberFormat="1" applyFont="1" applyBorder="1" applyProtection="1">
      <protection hidden="1"/>
    </xf>
    <xf numFmtId="167" fontId="37" fillId="0" borderId="16" xfId="2" applyNumberFormat="1" applyFont="1" applyBorder="1" applyProtection="1">
      <protection hidden="1"/>
    </xf>
    <xf numFmtId="167" fontId="37" fillId="0" borderId="31" xfId="2" applyNumberFormat="1" applyFont="1" applyBorder="1" applyProtection="1">
      <protection hidden="1"/>
    </xf>
    <xf numFmtId="167" fontId="37" fillId="0" borderId="32" xfId="2" applyNumberFormat="1" applyFont="1" applyBorder="1" applyProtection="1">
      <protection hidden="1"/>
    </xf>
    <xf numFmtId="0" fontId="19" fillId="0" borderId="0" xfId="0" applyFont="1" applyProtection="1">
      <protection hidden="1"/>
    </xf>
    <xf numFmtId="167" fontId="17" fillId="0" borderId="0" xfId="2" applyNumberFormat="1" applyFont="1" applyBorder="1" applyProtection="1">
      <protection hidden="1"/>
    </xf>
    <xf numFmtId="0" fontId="10" fillId="0" borderId="0" xfId="0" applyFont="1" applyProtection="1">
      <protection hidden="1"/>
    </xf>
    <xf numFmtId="0" fontId="22" fillId="0" borderId="0" xfId="0" applyFont="1" applyProtection="1">
      <protection hidden="1"/>
    </xf>
    <xf numFmtId="1" fontId="23" fillId="0" borderId="15" xfId="0" applyNumberFormat="1" applyFont="1" applyBorder="1" applyAlignment="1" applyProtection="1">
      <alignment horizontal="center" vertical="center" wrapText="1"/>
      <protection hidden="1"/>
    </xf>
    <xf numFmtId="168" fontId="23" fillId="0" borderId="29" xfId="0" applyNumberFormat="1" applyFont="1" applyBorder="1" applyAlignment="1" applyProtection="1">
      <alignment horizontal="center" vertical="center" wrapText="1"/>
      <protection hidden="1"/>
    </xf>
    <xf numFmtId="1" fontId="23" fillId="0" borderId="30" xfId="0" applyNumberFormat="1" applyFont="1" applyBorder="1" applyAlignment="1" applyProtection="1">
      <alignment horizontal="center" vertical="center" wrapText="1"/>
      <protection hidden="1"/>
    </xf>
    <xf numFmtId="1" fontId="22" fillId="0" borderId="8" xfId="0" applyNumberFormat="1" applyFont="1" applyBorder="1" applyAlignment="1" applyProtection="1">
      <alignment horizontal="center" vertical="center"/>
      <protection hidden="1"/>
    </xf>
    <xf numFmtId="1" fontId="22" fillId="11" borderId="35" xfId="0" applyNumberFormat="1" applyFont="1" applyFill="1" applyBorder="1" applyAlignment="1" applyProtection="1">
      <alignment horizontal="center"/>
      <protection hidden="1"/>
    </xf>
    <xf numFmtId="169" fontId="22" fillId="11" borderId="34" xfId="0" applyNumberFormat="1" applyFont="1" applyFill="1" applyBorder="1" applyAlignment="1" applyProtection="1">
      <alignment horizontal="center"/>
      <protection hidden="1"/>
    </xf>
    <xf numFmtId="1" fontId="22" fillId="11" borderId="36" xfId="0" applyNumberFormat="1" applyFont="1" applyFill="1" applyBorder="1" applyAlignment="1" applyProtection="1">
      <alignment horizontal="center"/>
      <protection hidden="1"/>
    </xf>
    <xf numFmtId="1" fontId="22" fillId="0" borderId="11" xfId="0" applyNumberFormat="1" applyFont="1" applyBorder="1" applyAlignment="1" applyProtection="1">
      <alignment horizontal="center" vertical="center"/>
      <protection hidden="1"/>
    </xf>
    <xf numFmtId="1" fontId="22" fillId="0" borderId="12" xfId="0" applyNumberFormat="1" applyFont="1" applyBorder="1" applyAlignment="1" applyProtection="1">
      <alignment horizontal="center"/>
      <protection hidden="1"/>
    </xf>
    <xf numFmtId="169" fontId="22" fillId="0" borderId="24" xfId="0" applyNumberFormat="1" applyFont="1" applyBorder="1" applyAlignment="1" applyProtection="1">
      <alignment horizontal="center"/>
      <protection hidden="1"/>
    </xf>
    <xf numFmtId="1" fontId="22" fillId="0" borderId="13" xfId="0" applyNumberFormat="1" applyFont="1" applyBorder="1" applyAlignment="1" applyProtection="1">
      <alignment horizontal="center"/>
      <protection hidden="1"/>
    </xf>
    <xf numFmtId="1" fontId="22" fillId="11" borderId="12" xfId="0" applyNumberFormat="1" applyFont="1" applyFill="1" applyBorder="1" applyAlignment="1" applyProtection="1">
      <alignment horizontal="center"/>
      <protection hidden="1"/>
    </xf>
    <xf numFmtId="169" fontId="22" fillId="11" borderId="24" xfId="0" applyNumberFormat="1" applyFont="1" applyFill="1" applyBorder="1" applyAlignment="1" applyProtection="1">
      <alignment horizontal="center"/>
      <protection hidden="1"/>
    </xf>
    <xf numFmtId="1" fontId="22" fillId="11" borderId="13" xfId="0" applyNumberFormat="1" applyFont="1" applyFill="1" applyBorder="1" applyAlignment="1" applyProtection="1">
      <alignment horizontal="center"/>
      <protection hidden="1"/>
    </xf>
    <xf numFmtId="1" fontId="22" fillId="0" borderId="50" xfId="0" applyNumberFormat="1" applyFont="1" applyBorder="1" applyAlignment="1" applyProtection="1">
      <alignment horizontal="center" vertical="center"/>
      <protection hidden="1"/>
    </xf>
    <xf numFmtId="1" fontId="22" fillId="11" borderId="15" xfId="0" applyNumberFormat="1" applyFont="1" applyFill="1" applyBorder="1" applyAlignment="1" applyProtection="1">
      <alignment horizontal="center"/>
      <protection hidden="1"/>
    </xf>
    <xf numFmtId="169" fontId="22" fillId="11" borderId="29" xfId="0" applyNumberFormat="1" applyFont="1" applyFill="1" applyBorder="1" applyAlignment="1" applyProtection="1">
      <alignment horizontal="center"/>
      <protection hidden="1"/>
    </xf>
    <xf numFmtId="1" fontId="22" fillId="11" borderId="37" xfId="0" applyNumberFormat="1" applyFont="1" applyFill="1" applyBorder="1" applyAlignment="1" applyProtection="1">
      <alignment horizontal="center"/>
      <protection hidden="1"/>
    </xf>
    <xf numFmtId="1" fontId="22" fillId="0" borderId="35" xfId="0" applyNumberFormat="1" applyFont="1" applyBorder="1" applyAlignment="1" applyProtection="1">
      <alignment horizontal="center"/>
      <protection hidden="1"/>
    </xf>
    <xf numFmtId="169" fontId="22" fillId="0" borderId="34" xfId="0" applyNumberFormat="1" applyFont="1" applyBorder="1" applyAlignment="1" applyProtection="1">
      <alignment horizontal="center"/>
      <protection hidden="1"/>
    </xf>
    <xf numFmtId="1" fontId="22" fillId="0" borderId="36" xfId="0" applyNumberFormat="1" applyFont="1" applyBorder="1" applyAlignment="1" applyProtection="1">
      <alignment horizontal="center"/>
      <protection hidden="1"/>
    </xf>
    <xf numFmtId="1" fontId="22" fillId="0" borderId="17" xfId="0" applyNumberFormat="1" applyFont="1" applyBorder="1" applyAlignment="1" applyProtection="1">
      <alignment horizontal="center" vertical="center"/>
      <protection hidden="1"/>
    </xf>
    <xf numFmtId="1" fontId="22" fillId="11" borderId="18" xfId="0" applyNumberFormat="1" applyFont="1" applyFill="1" applyBorder="1" applyAlignment="1" applyProtection="1">
      <alignment horizontal="center"/>
      <protection hidden="1"/>
    </xf>
    <xf numFmtId="169" fontId="22" fillId="11" borderId="51" xfId="0" applyNumberFormat="1" applyFont="1" applyFill="1" applyBorder="1" applyAlignment="1" applyProtection="1">
      <alignment horizontal="center"/>
      <protection hidden="1"/>
    </xf>
    <xf numFmtId="1" fontId="22" fillId="11" borderId="30" xfId="0" applyNumberFormat="1" applyFont="1" applyFill="1" applyBorder="1" applyAlignment="1" applyProtection="1">
      <alignment horizontal="center"/>
      <protection hidden="1"/>
    </xf>
    <xf numFmtId="1" fontId="22" fillId="0" borderId="18" xfId="0" applyNumberFormat="1" applyFont="1" applyBorder="1" applyAlignment="1" applyProtection="1">
      <alignment horizontal="center"/>
      <protection hidden="1"/>
    </xf>
    <xf numFmtId="169" fontId="22" fillId="0" borderId="51" xfId="0" applyNumberFormat="1" applyFont="1" applyBorder="1" applyAlignment="1" applyProtection="1">
      <alignment horizontal="center"/>
      <protection hidden="1"/>
    </xf>
    <xf numFmtId="1" fontId="22" fillId="0" borderId="30" xfId="0" applyNumberFormat="1" applyFont="1" applyBorder="1" applyAlignment="1" applyProtection="1">
      <alignment horizontal="center"/>
      <protection hidden="1"/>
    </xf>
    <xf numFmtId="1" fontId="22" fillId="0" borderId="15" xfId="0" applyNumberFormat="1" applyFont="1" applyBorder="1" applyAlignment="1" applyProtection="1">
      <alignment horizontal="center"/>
      <protection hidden="1"/>
    </xf>
    <xf numFmtId="169" fontId="22" fillId="0" borderId="29" xfId="0" applyNumberFormat="1" applyFont="1" applyBorder="1" applyAlignment="1" applyProtection="1">
      <alignment horizontal="center"/>
      <protection hidden="1"/>
    </xf>
    <xf numFmtId="1" fontId="22" fillId="0" borderId="37" xfId="0" applyNumberFormat="1" applyFont="1" applyBorder="1" applyAlignment="1" applyProtection="1">
      <alignment horizontal="center"/>
      <protection hidden="1"/>
    </xf>
    <xf numFmtId="0" fontId="0" fillId="0" borderId="23" xfId="0" applyBorder="1" applyProtection="1">
      <protection hidden="1"/>
    </xf>
    <xf numFmtId="167" fontId="3" fillId="0" borderId="23" xfId="0" applyNumberFormat="1" applyFont="1" applyBorder="1" applyAlignment="1" applyProtection="1">
      <alignment horizontal="center"/>
      <protection hidden="1"/>
    </xf>
    <xf numFmtId="167" fontId="0" fillId="0" borderId="11" xfId="0" applyNumberFormat="1" applyBorder="1" applyAlignment="1" applyProtection="1">
      <alignment horizontal="right"/>
      <protection hidden="1"/>
    </xf>
    <xf numFmtId="170" fontId="28" fillId="7" borderId="28" xfId="1" applyNumberFormat="1" applyFont="1" applyFill="1" applyBorder="1" applyProtection="1">
      <protection locked="0" hidden="1"/>
    </xf>
    <xf numFmtId="0" fontId="1" fillId="0" borderId="0" xfId="0" applyFont="1" applyAlignment="1" applyProtection="1">
      <alignment horizontal="center"/>
      <protection hidden="1"/>
    </xf>
    <xf numFmtId="0" fontId="2" fillId="0" borderId="0" xfId="0" applyFont="1" applyAlignment="1" applyProtection="1">
      <alignment horizontal="center"/>
      <protection hidden="1"/>
    </xf>
    <xf numFmtId="0" fontId="5" fillId="0" borderId="0" xfId="0" applyFont="1" applyAlignment="1" applyProtection="1">
      <alignment horizontal="center" wrapText="1"/>
      <protection hidden="1"/>
    </xf>
    <xf numFmtId="0" fontId="4" fillId="0" borderId="40" xfId="0" applyFont="1" applyBorder="1" applyAlignment="1" applyProtection="1">
      <alignment horizontal="center" vertical="center" wrapText="1"/>
      <protection hidden="1"/>
    </xf>
    <xf numFmtId="0" fontId="4" fillId="0" borderId="41" xfId="0" applyFont="1" applyBorder="1" applyAlignment="1" applyProtection="1">
      <alignment horizontal="center" vertical="center" wrapText="1"/>
      <protection hidden="1"/>
    </xf>
    <xf numFmtId="0" fontId="29" fillId="0" borderId="42" xfId="0" applyFont="1" applyBorder="1" applyAlignment="1" applyProtection="1">
      <alignment horizontal="center" vertical="center" wrapText="1"/>
      <protection hidden="1"/>
    </xf>
    <xf numFmtId="0" fontId="29" fillId="0" borderId="41" xfId="0" applyFont="1" applyBorder="1" applyAlignment="1" applyProtection="1">
      <alignment horizontal="center" vertical="center" wrapText="1"/>
      <protection hidden="1"/>
    </xf>
    <xf numFmtId="0" fontId="21" fillId="0" borderId="14" xfId="0" applyFont="1" applyBorder="1" applyAlignment="1" applyProtection="1">
      <alignment horizontal="left"/>
      <protection hidden="1"/>
    </xf>
    <xf numFmtId="0" fontId="21" fillId="0" borderId="4" xfId="0" applyFont="1" applyBorder="1" applyAlignment="1" applyProtection="1">
      <alignment horizontal="left"/>
      <protection hidden="1"/>
    </xf>
    <xf numFmtId="8" fontId="21" fillId="0" borderId="24" xfId="0" applyNumberFormat="1" applyFont="1" applyBorder="1" applyAlignment="1">
      <alignment horizontal="center"/>
    </xf>
    <xf numFmtId="0" fontId="32" fillId="9" borderId="40" xfId="0" applyFont="1" applyFill="1" applyBorder="1" applyAlignment="1">
      <alignment horizontal="center"/>
    </xf>
    <xf numFmtId="0" fontId="32" fillId="9" borderId="42" xfId="0" applyFont="1" applyFill="1" applyBorder="1" applyAlignment="1">
      <alignment horizontal="center"/>
    </xf>
    <xf numFmtId="0" fontId="32" fillId="9" borderId="41" xfId="0" applyFont="1" applyFill="1" applyBorder="1" applyAlignment="1">
      <alignment horizontal="center"/>
    </xf>
    <xf numFmtId="0" fontId="3" fillId="0" borderId="0" xfId="0" applyFont="1" applyAlignment="1">
      <alignment horizontal="left" vertical="center" wrapText="1"/>
    </xf>
    <xf numFmtId="0" fontId="30" fillId="8" borderId="39" xfId="0" applyFont="1" applyFill="1" applyBorder="1" applyAlignment="1">
      <alignment horizontal="center"/>
    </xf>
    <xf numFmtId="0" fontId="31" fillId="6" borderId="22" xfId="0" applyFont="1" applyFill="1" applyBorder="1" applyAlignment="1">
      <alignment horizontal="center"/>
    </xf>
    <xf numFmtId="0" fontId="21" fillId="0" borderId="24" xfId="0" applyFont="1" applyBorder="1" applyAlignment="1">
      <alignment horizontal="left" wrapText="1"/>
    </xf>
    <xf numFmtId="0" fontId="14" fillId="0" borderId="24" xfId="0" applyFont="1" applyBorder="1" applyAlignment="1">
      <alignment horizontal="left" wrapText="1"/>
    </xf>
    <xf numFmtId="9" fontId="21" fillId="0" borderId="24" xfId="0" applyNumberFormat="1" applyFont="1" applyBorder="1" applyAlignment="1">
      <alignment horizontal="center"/>
    </xf>
    <xf numFmtId="0" fontId="21" fillId="0" borderId="43" xfId="0" applyFont="1" applyBorder="1" applyAlignment="1">
      <alignment horizontal="left" wrapText="1"/>
    </xf>
    <xf numFmtId="0" fontId="21" fillId="0" borderId="44" xfId="0" applyFont="1" applyBorder="1" applyAlignment="1">
      <alignment horizontal="left" wrapText="1"/>
    </xf>
    <xf numFmtId="0" fontId="21" fillId="0" borderId="45" xfId="0" applyFont="1" applyBorder="1" applyAlignment="1">
      <alignment horizontal="left" wrapText="1"/>
    </xf>
    <xf numFmtId="0" fontId="21" fillId="0" borderId="46" xfId="0" applyFont="1" applyBorder="1" applyAlignment="1">
      <alignment horizontal="left" wrapText="1"/>
    </xf>
    <xf numFmtId="0" fontId="21" fillId="0" borderId="0" xfId="0" applyFont="1" applyAlignment="1">
      <alignment horizontal="left" wrapText="1"/>
    </xf>
    <xf numFmtId="0" fontId="21" fillId="0" borderId="47" xfId="0" applyFont="1" applyBorder="1" applyAlignment="1">
      <alignment horizontal="left" wrapText="1"/>
    </xf>
    <xf numFmtId="0" fontId="21" fillId="0" borderId="48" xfId="0" applyFont="1" applyBorder="1" applyAlignment="1">
      <alignment horizontal="left" wrapText="1"/>
    </xf>
    <xf numFmtId="0" fontId="21" fillId="0" borderId="39" xfId="0" applyFont="1" applyBorder="1" applyAlignment="1">
      <alignment horizontal="left" wrapText="1"/>
    </xf>
    <xf numFmtId="0" fontId="21" fillId="0" borderId="49" xfId="0" applyFont="1" applyBorder="1" applyAlignment="1">
      <alignment horizontal="left" wrapText="1"/>
    </xf>
    <xf numFmtId="0" fontId="31" fillId="6" borderId="24" xfId="0" applyFont="1" applyFill="1" applyBorder="1" applyAlignment="1">
      <alignment horizontal="center"/>
    </xf>
    <xf numFmtId="168" fontId="22" fillId="0" borderId="5" xfId="0" applyNumberFormat="1" applyFont="1" applyBorder="1" applyAlignment="1" applyProtection="1">
      <alignment horizontal="center" vertical="center"/>
      <protection hidden="1"/>
    </xf>
    <xf numFmtId="168" fontId="22" fillId="0" borderId="6" xfId="0" applyNumberFormat="1" applyFont="1" applyBorder="1" applyAlignment="1" applyProtection="1">
      <alignment horizontal="center" vertical="center"/>
      <protection hidden="1"/>
    </xf>
    <xf numFmtId="168" fontId="22" fillId="0" borderId="27" xfId="0" applyNumberFormat="1" applyFont="1" applyBorder="1" applyAlignment="1" applyProtection="1">
      <alignment horizontal="center" vertical="center"/>
      <protection hidden="1"/>
    </xf>
    <xf numFmtId="0" fontId="33" fillId="10" borderId="35" xfId="0" applyFont="1" applyFill="1" applyBorder="1" applyAlignment="1" applyProtection="1">
      <alignment horizontal="center"/>
      <protection hidden="1"/>
    </xf>
    <xf numFmtId="0" fontId="33" fillId="10" borderId="34" xfId="0" applyFont="1" applyFill="1" applyBorder="1" applyAlignment="1" applyProtection="1">
      <alignment horizontal="center"/>
      <protection hidden="1"/>
    </xf>
    <xf numFmtId="0" fontId="33" fillId="10" borderId="36" xfId="0" applyFont="1" applyFill="1" applyBorder="1" applyAlignment="1" applyProtection="1">
      <alignment horizontal="center"/>
      <protection hidden="1"/>
    </xf>
    <xf numFmtId="0" fontId="23" fillId="0" borderId="40" xfId="0" applyFont="1" applyBorder="1" applyAlignment="1" applyProtection="1">
      <alignment horizontal="center" vertical="center" wrapText="1"/>
      <protection hidden="1"/>
    </xf>
    <xf numFmtId="0" fontId="23" fillId="0" borderId="41" xfId="0" applyFont="1" applyBorder="1" applyAlignment="1" applyProtection="1">
      <alignment horizontal="center" vertical="center" wrapText="1"/>
      <protection hidden="1"/>
    </xf>
    <xf numFmtId="168" fontId="22" fillId="0" borderId="7" xfId="0" applyNumberFormat="1" applyFont="1" applyBorder="1" applyAlignment="1" applyProtection="1">
      <alignment horizontal="center" vertical="center"/>
      <protection hidden="1"/>
    </xf>
  </cellXfs>
  <cellStyles count="4">
    <cellStyle name="Comma" xfId="1" builtinId="3"/>
    <cellStyle name="Currency" xfId="2" builtinId="4"/>
    <cellStyle name="Normal" xfId="0" builtinId="0"/>
    <cellStyle name="Percent" xfId="3" builtinId="5"/>
  </cellStyles>
  <dxfs count="4">
    <dxf>
      <fill>
        <patternFill>
          <bgColor rgb="FFFFC000"/>
        </patternFill>
      </fill>
    </dxf>
    <dxf>
      <font>
        <condense val="0"/>
        <extend val="0"/>
        <color rgb="FF9C0006"/>
      </font>
      <fill>
        <patternFill>
          <bgColor rgb="FFFFC7CE"/>
        </patternFill>
      </fill>
    </dxf>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http://content.inboxgroup.com/TexasHealth/txhealthLogo.jpg"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38100</xdr:rowOff>
    </xdr:from>
    <xdr:to>
      <xdr:col>1</xdr:col>
      <xdr:colOff>1074420</xdr:colOff>
      <xdr:row>1</xdr:row>
      <xdr:rowOff>7620</xdr:rowOff>
    </xdr:to>
    <xdr:pic>
      <xdr:nvPicPr>
        <xdr:cNvPr id="1431" name="Picture 2">
          <a:extLst>
            <a:ext uri="{FF2B5EF4-FFF2-40B4-BE49-F238E27FC236}">
              <a16:creationId xmlns:a16="http://schemas.microsoft.com/office/drawing/2014/main" id="{EF4B96EF-5AAB-3458-0492-99FDB576F9AB}"/>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0" y="38100"/>
          <a:ext cx="1851660" cy="541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19050</xdr:rowOff>
    </xdr:from>
    <xdr:to>
      <xdr:col>2</xdr:col>
      <xdr:colOff>1102130</xdr:colOff>
      <xdr:row>1</xdr:row>
      <xdr:rowOff>9525</xdr:rowOff>
    </xdr:to>
    <xdr:pic>
      <xdr:nvPicPr>
        <xdr:cNvPr id="2" name="Picture 2">
          <a:extLst>
            <a:ext uri="{FF2B5EF4-FFF2-40B4-BE49-F238E27FC236}">
              <a16:creationId xmlns:a16="http://schemas.microsoft.com/office/drawing/2014/main" id="{16CC30A0-4C69-407B-B960-57BA507C018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9050"/>
          <a:ext cx="329288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2EE86-4C2A-4BC5-AA31-D3E613493099}">
  <dimension ref="A1:N79"/>
  <sheetViews>
    <sheetView showGridLines="0" tabSelected="1" zoomScaleNormal="100" workbookViewId="0">
      <selection activeCell="I72" sqref="I72"/>
    </sheetView>
  </sheetViews>
  <sheetFormatPr defaultColWidth="9.33203125" defaultRowHeight="14.4" x14ac:dyDescent="0.3"/>
  <cols>
    <col min="1" max="1" width="11.33203125" style="11" customWidth="1"/>
    <col min="2" max="2" width="20.5546875" style="11" customWidth="1"/>
    <col min="3" max="3" width="28.33203125" style="11" customWidth="1"/>
    <col min="4" max="4" width="6.44140625" style="11" customWidth="1"/>
    <col min="5" max="5" width="14.5546875" style="11" hidden="1" customWidth="1"/>
    <col min="6" max="6" width="28.33203125" style="11" customWidth="1"/>
    <col min="7" max="7" width="16.77734375" style="11" hidden="1" customWidth="1"/>
    <col min="8" max="8" width="15.88671875" style="11" hidden="1" customWidth="1"/>
    <col min="9" max="9" width="24.6640625" style="11" customWidth="1"/>
    <col min="10" max="11" width="15.5546875" style="11" customWidth="1"/>
    <col min="12" max="12" width="2.33203125" style="11" customWidth="1"/>
    <col min="13" max="13" width="9.33203125" style="11"/>
    <col min="14" max="14" width="10.33203125" style="11" bestFit="1" customWidth="1"/>
    <col min="15" max="16384" width="9.33203125" style="11"/>
  </cols>
  <sheetData>
    <row r="1" spans="1:14" ht="45" customHeight="1" x14ac:dyDescent="0.3"/>
    <row r="2" spans="1:14" ht="19.05" customHeight="1" x14ac:dyDescent="0.4">
      <c r="A2" s="145" t="s">
        <v>0</v>
      </c>
      <c r="B2" s="145"/>
      <c r="C2" s="145"/>
      <c r="D2" s="145"/>
      <c r="E2" s="145"/>
      <c r="F2" s="145"/>
      <c r="G2" s="145"/>
      <c r="H2" s="145"/>
      <c r="I2" s="145"/>
      <c r="J2" s="145"/>
      <c r="K2" s="145"/>
    </row>
    <row r="3" spans="1:14" ht="20.25" customHeight="1" x14ac:dyDescent="0.3">
      <c r="A3" s="146" t="s">
        <v>68</v>
      </c>
      <c r="B3" s="146"/>
      <c r="C3" s="146"/>
      <c r="D3" s="146"/>
      <c r="E3" s="146"/>
      <c r="F3" s="146"/>
      <c r="G3" s="146"/>
      <c r="H3" s="146"/>
      <c r="I3" s="146"/>
      <c r="J3" s="146"/>
      <c r="K3" s="146"/>
    </row>
    <row r="5" spans="1:14" x14ac:dyDescent="0.3">
      <c r="A5" s="12" t="s">
        <v>1</v>
      </c>
    </row>
    <row r="6" spans="1:14" x14ac:dyDescent="0.3">
      <c r="A6" s="12" t="s">
        <v>2</v>
      </c>
    </row>
    <row r="7" spans="1:14" x14ac:dyDescent="0.3">
      <c r="A7" s="12" t="s">
        <v>61</v>
      </c>
    </row>
    <row r="8" spans="1:14" x14ac:dyDescent="0.3">
      <c r="A8" s="12" t="s">
        <v>54</v>
      </c>
    </row>
    <row r="9" spans="1:14" x14ac:dyDescent="0.3">
      <c r="A9" s="12" t="s">
        <v>3</v>
      </c>
    </row>
    <row r="10" spans="1:14" x14ac:dyDescent="0.3">
      <c r="A10" s="12" t="s">
        <v>55</v>
      </c>
    </row>
    <row r="11" spans="1:14" x14ac:dyDescent="0.3">
      <c r="A11" s="12" t="s">
        <v>27</v>
      </c>
    </row>
    <row r="12" spans="1:14" x14ac:dyDescent="0.3">
      <c r="A12" s="12" t="s">
        <v>28</v>
      </c>
    </row>
    <row r="13" spans="1:14" ht="4.8" customHeight="1" thickBot="1" x14ac:dyDescent="0.35">
      <c r="A13" s="13"/>
      <c r="B13" s="14"/>
      <c r="C13" s="14"/>
      <c r="D13" s="14"/>
      <c r="E13" s="14"/>
      <c r="F13" s="14"/>
      <c r="G13" s="14"/>
      <c r="H13" s="14"/>
      <c r="I13" s="14"/>
      <c r="J13" s="14"/>
      <c r="K13" s="14"/>
      <c r="L13" s="14"/>
    </row>
    <row r="14" spans="1:14" ht="15" thickTop="1" x14ac:dyDescent="0.3">
      <c r="A14" s="147" t="s">
        <v>23</v>
      </c>
      <c r="B14" s="147"/>
      <c r="C14" s="147"/>
      <c r="D14" s="147"/>
      <c r="E14" s="147"/>
      <c r="F14" s="147"/>
      <c r="G14" s="147"/>
      <c r="H14" s="147"/>
      <c r="I14" s="147"/>
      <c r="J14" s="147"/>
      <c r="N14" s="16"/>
    </row>
    <row r="15" spans="1:14" x14ac:dyDescent="0.3">
      <c r="A15" s="147" t="s">
        <v>4</v>
      </c>
      <c r="B15" s="147"/>
      <c r="C15" s="147"/>
      <c r="D15" s="147"/>
      <c r="E15" s="147"/>
      <c r="F15" s="147"/>
      <c r="G15" s="147"/>
      <c r="H15" s="147"/>
      <c r="I15" s="147"/>
      <c r="J15" s="147"/>
      <c r="N15" s="16"/>
    </row>
    <row r="16" spans="1:14" x14ac:dyDescent="0.3">
      <c r="A16" s="15"/>
      <c r="B16" s="15"/>
      <c r="C16" s="15"/>
      <c r="D16" s="15"/>
      <c r="E16" s="15"/>
      <c r="F16" s="15"/>
      <c r="G16" s="15"/>
      <c r="H16" s="15"/>
      <c r="I16" s="15"/>
      <c r="J16" s="15"/>
      <c r="N16" s="16"/>
    </row>
    <row r="17" spans="1:11" x14ac:dyDescent="0.3">
      <c r="A17" s="17" t="s">
        <v>25</v>
      </c>
      <c r="B17" s="12"/>
    </row>
    <row r="18" spans="1:11" x14ac:dyDescent="0.3">
      <c r="A18" s="18" t="s">
        <v>26</v>
      </c>
      <c r="B18" s="12"/>
    </row>
    <row r="19" spans="1:11" x14ac:dyDescent="0.3">
      <c r="A19" s="17" t="s">
        <v>53</v>
      </c>
      <c r="B19" s="12"/>
    </row>
    <row r="20" spans="1:11" x14ac:dyDescent="0.3">
      <c r="B20" s="17" t="s">
        <v>86</v>
      </c>
    </row>
    <row r="21" spans="1:11" x14ac:dyDescent="0.3">
      <c r="A21" s="17" t="s">
        <v>62</v>
      </c>
      <c r="B21" s="12"/>
    </row>
    <row r="22" spans="1:11" x14ac:dyDescent="0.3">
      <c r="A22" s="17" t="s">
        <v>63</v>
      </c>
      <c r="B22" s="17"/>
      <c r="C22" s="19"/>
      <c r="D22" s="19"/>
      <c r="E22" s="19"/>
      <c r="F22" s="19"/>
      <c r="G22" s="19"/>
      <c r="H22" s="19"/>
      <c r="I22" s="19"/>
      <c r="J22" s="20"/>
    </row>
    <row r="23" spans="1:11" x14ac:dyDescent="0.3">
      <c r="A23" s="21" t="s">
        <v>64</v>
      </c>
      <c r="B23" s="17"/>
      <c r="C23" s="19"/>
      <c r="D23" s="19"/>
      <c r="E23" s="19"/>
      <c r="F23" s="19"/>
      <c r="G23" s="19"/>
      <c r="H23" s="19"/>
      <c r="I23" s="19"/>
      <c r="J23" s="20"/>
    </row>
    <row r="24" spans="1:11" ht="15" thickBot="1" x14ac:dyDescent="0.35">
      <c r="A24" s="22" t="s">
        <v>84</v>
      </c>
      <c r="B24" s="23"/>
      <c r="C24" s="23"/>
    </row>
    <row r="25" spans="1:11" x14ac:dyDescent="0.3">
      <c r="A25" s="24" t="s">
        <v>72</v>
      </c>
      <c r="B25" s="25"/>
      <c r="C25" s="25"/>
      <c r="D25" s="25"/>
      <c r="E25" s="25"/>
      <c r="F25" s="25"/>
      <c r="G25" s="25"/>
      <c r="H25" s="25"/>
      <c r="I25" s="25"/>
      <c r="J25" s="26">
        <v>55000</v>
      </c>
      <c r="K25" s="27"/>
    </row>
    <row r="26" spans="1:11" x14ac:dyDescent="0.3">
      <c r="A26" s="28" t="s">
        <v>65</v>
      </c>
      <c r="B26" s="29"/>
      <c r="C26" s="29"/>
      <c r="D26" s="29"/>
      <c r="E26" s="29"/>
      <c r="F26" s="29"/>
      <c r="G26" s="29"/>
      <c r="H26" s="29"/>
      <c r="I26" s="29"/>
      <c r="J26" s="30">
        <v>45</v>
      </c>
      <c r="K26" s="31"/>
    </row>
    <row r="27" spans="1:11" x14ac:dyDescent="0.3">
      <c r="A27" s="32" t="s">
        <v>66</v>
      </c>
      <c r="B27" s="33"/>
      <c r="C27" s="34"/>
      <c r="D27" s="33"/>
      <c r="E27" s="33"/>
      <c r="F27" s="33"/>
      <c r="G27" s="33"/>
      <c r="H27" s="33"/>
      <c r="I27" s="33"/>
      <c r="J27" s="144">
        <v>5</v>
      </c>
      <c r="K27" s="35"/>
    </row>
    <row r="28" spans="1:11" x14ac:dyDescent="0.3">
      <c r="A28" s="36" t="s">
        <v>83</v>
      </c>
      <c r="B28" s="37"/>
      <c r="C28" s="37"/>
      <c r="D28" s="37"/>
      <c r="E28" s="37"/>
      <c r="F28" s="37"/>
      <c r="G28" s="37"/>
      <c r="H28" s="37"/>
      <c r="I28" s="37"/>
      <c r="J28" s="38" cm="1">
        <f t="array" ref="J28">_xlfn.IFS($J$26&gt;=64,32500,AND($J$26&gt;=50,$J$26&lt;=59),32500, AND($J$26&gt;=60, $J$26&lt;=63),35750,AND($J$26&lt;50),24500)</f>
        <v>24500</v>
      </c>
      <c r="K28" s="39"/>
    </row>
    <row r="29" spans="1:11" x14ac:dyDescent="0.3">
      <c r="A29" s="40" t="s">
        <v>85</v>
      </c>
      <c r="B29" s="37"/>
      <c r="C29" s="37"/>
      <c r="D29" s="37"/>
      <c r="E29" s="37"/>
      <c r="F29" s="41"/>
      <c r="G29" s="41"/>
      <c r="H29" s="41"/>
      <c r="I29" s="37"/>
      <c r="J29" s="143" cm="1">
        <f t="array" ref="J29">_xlfn.IFS($J$27&gt;=10,1.25,$J$27&gt;=5,1,$J$27&gt;=0.5,0.75,$J$27&lt;0.5,0)</f>
        <v>1</v>
      </c>
      <c r="K29" s="42"/>
    </row>
    <row r="30" spans="1:11" x14ac:dyDescent="0.3">
      <c r="A30" s="152" t="s">
        <v>69</v>
      </c>
      <c r="B30" s="153"/>
      <c r="C30" s="153"/>
      <c r="D30" s="153"/>
      <c r="E30" s="153"/>
      <c r="F30" s="153"/>
      <c r="G30" s="37"/>
      <c r="H30" s="37"/>
      <c r="I30" s="37"/>
      <c r="J30" s="43">
        <f>IF((J25/26*27)&lt;J28,1,ROUNDDOWN(J28/(J25/26*27),2))</f>
        <v>0.42</v>
      </c>
      <c r="K30" s="44"/>
    </row>
    <row r="31" spans="1:11" x14ac:dyDescent="0.3">
      <c r="A31" s="152" t="s">
        <v>70</v>
      </c>
      <c r="B31" s="153"/>
      <c r="C31" s="153"/>
      <c r="D31" s="153"/>
      <c r="E31" s="153"/>
      <c r="F31" s="153"/>
      <c r="G31" s="37"/>
      <c r="H31" s="37"/>
      <c r="I31" s="37"/>
      <c r="J31" s="45">
        <f>(+J25/26)*J30</f>
        <v>888.46153846153834</v>
      </c>
      <c r="K31" s="46"/>
    </row>
    <row r="32" spans="1:11" x14ac:dyDescent="0.3">
      <c r="A32" s="152" t="s">
        <v>71</v>
      </c>
      <c r="B32" s="153"/>
      <c r="C32" s="153"/>
      <c r="D32" s="153"/>
      <c r="E32" s="153"/>
      <c r="F32" s="153"/>
      <c r="G32" s="37"/>
      <c r="H32" s="37"/>
      <c r="I32" s="37"/>
      <c r="J32" s="47">
        <f>+J31*27</f>
        <v>23988.461538461535</v>
      </c>
      <c r="K32" s="35"/>
    </row>
    <row r="33" spans="1:11" x14ac:dyDescent="0.3">
      <c r="A33" s="48" t="s">
        <v>5</v>
      </c>
      <c r="B33" s="49"/>
      <c r="C33" s="49"/>
      <c r="D33" s="49"/>
      <c r="E33" s="49"/>
      <c r="F33" s="50"/>
      <c r="G33" s="50"/>
      <c r="H33" s="50"/>
      <c r="I33" s="49"/>
      <c r="J33" s="51">
        <f>IF(J25/26*27&lt;360000,J25/26*27*0.06*J29,360000*0.06*J29)</f>
        <v>3426.9230769230767</v>
      </c>
      <c r="K33" s="39"/>
    </row>
    <row r="35" spans="1:11" x14ac:dyDescent="0.3">
      <c r="A35" s="52" t="s">
        <v>82</v>
      </c>
    </row>
    <row r="36" spans="1:11" x14ac:dyDescent="0.3">
      <c r="A36" s="53" t="s">
        <v>24</v>
      </c>
    </row>
    <row r="37" spans="1:11" ht="22.8" customHeight="1" thickBot="1" x14ac:dyDescent="0.35">
      <c r="A37" s="53"/>
    </row>
    <row r="38" spans="1:11" s="55" customFormat="1" ht="94.2" customHeight="1" thickBot="1" x14ac:dyDescent="0.35">
      <c r="A38" s="54"/>
      <c r="B38" s="148" t="s">
        <v>81</v>
      </c>
      <c r="C38" s="149"/>
      <c r="F38" s="148" t="s">
        <v>67</v>
      </c>
      <c r="G38" s="150"/>
      <c r="H38" s="150"/>
      <c r="I38" s="151"/>
    </row>
    <row r="39" spans="1:11" x14ac:dyDescent="0.3">
      <c r="A39" s="56"/>
      <c r="B39" s="57"/>
      <c r="C39" s="57"/>
      <c r="D39" s="58"/>
      <c r="E39" s="59"/>
      <c r="F39" s="60" t="s">
        <v>6</v>
      </c>
      <c r="G39" s="61"/>
      <c r="H39" s="61"/>
      <c r="I39" s="62">
        <v>1</v>
      </c>
    </row>
    <row r="40" spans="1:11" x14ac:dyDescent="0.3">
      <c r="A40" s="56"/>
      <c r="B40" s="63"/>
      <c r="C40" s="58"/>
      <c r="D40" s="58"/>
      <c r="E40" s="64"/>
      <c r="F40" s="65" t="s">
        <v>7</v>
      </c>
      <c r="G40" s="66"/>
      <c r="H40" s="66"/>
      <c r="I40" s="67">
        <v>0.35</v>
      </c>
    </row>
    <row r="41" spans="1:11" ht="15" thickBot="1" x14ac:dyDescent="0.35">
      <c r="A41" s="56"/>
      <c r="B41" s="63"/>
      <c r="C41" s="58"/>
      <c r="D41" s="63"/>
      <c r="E41" s="68"/>
      <c r="F41" s="69" t="s">
        <v>8</v>
      </c>
      <c r="G41" s="70"/>
      <c r="H41" s="68"/>
      <c r="I41" s="71">
        <f>IF(I40&gt;0.01,IF(I40&gt;0.06,0.06*$J$29,I40*$J$29),0)</f>
        <v>0.06</v>
      </c>
    </row>
    <row r="42" spans="1:11" ht="15" thickBot="1" x14ac:dyDescent="0.35">
      <c r="A42" s="56"/>
      <c r="B42" s="72" t="s">
        <v>9</v>
      </c>
      <c r="C42" s="73">
        <f>+J30</f>
        <v>0.42</v>
      </c>
      <c r="D42" s="74"/>
      <c r="E42" s="75"/>
      <c r="F42" s="76" t="s">
        <v>10</v>
      </c>
      <c r="G42" s="77"/>
      <c r="H42" s="78"/>
      <c r="I42" s="79">
        <v>12</v>
      </c>
    </row>
    <row r="43" spans="1:11" x14ac:dyDescent="0.3">
      <c r="A43" s="56"/>
      <c r="B43" s="63"/>
      <c r="C43" s="58"/>
      <c r="D43" s="74"/>
      <c r="E43" s="75"/>
      <c r="F43" s="76" t="s">
        <v>11</v>
      </c>
      <c r="G43" s="77"/>
      <c r="H43" s="78"/>
      <c r="I43" s="80">
        <v>0.5</v>
      </c>
    </row>
    <row r="44" spans="1:11" ht="15" thickBot="1" x14ac:dyDescent="0.35">
      <c r="A44" s="56"/>
      <c r="B44" s="81"/>
      <c r="C44" s="82"/>
      <c r="D44" s="74"/>
      <c r="E44" s="75"/>
      <c r="F44" s="83" t="s">
        <v>8</v>
      </c>
      <c r="G44" s="84"/>
      <c r="H44" s="85"/>
      <c r="I44" s="86">
        <f>IF(I43&gt;0.01,IF(I43&gt;0.06,0.06*$J$29,I43*$J$29),0)</f>
        <v>0.06</v>
      </c>
      <c r="J44" s="141"/>
    </row>
    <row r="45" spans="1:11" x14ac:dyDescent="0.3">
      <c r="A45" s="87" t="s">
        <v>12</v>
      </c>
      <c r="B45" s="88" t="s">
        <v>13</v>
      </c>
      <c r="C45" s="89" t="s">
        <v>14</v>
      </c>
      <c r="D45" s="74"/>
      <c r="E45" s="90" t="s">
        <v>15</v>
      </c>
      <c r="F45" s="88" t="s">
        <v>13</v>
      </c>
      <c r="G45" s="91" t="s">
        <v>16</v>
      </c>
      <c r="H45" s="91" t="s">
        <v>16</v>
      </c>
      <c r="I45" s="89" t="s">
        <v>17</v>
      </c>
      <c r="J45" s="142"/>
    </row>
    <row r="46" spans="1:11" x14ac:dyDescent="0.3">
      <c r="A46" s="92">
        <v>1</v>
      </c>
      <c r="B46" s="93">
        <f>(+$J$25/26)*C$42</f>
        <v>888.46153846153834</v>
      </c>
      <c r="C46" s="94">
        <f>IF($C$42&gt;0.06,(($J$25/26)*$J$29)*0.06,(($J$25/26)*$J$29)*$C$42)</f>
        <v>126.92307692307691</v>
      </c>
      <c r="D46" s="74"/>
      <c r="E46" s="95">
        <f>ROUND((+$J$25/26)*I$40,2)</f>
        <v>740.38</v>
      </c>
      <c r="F46" s="93">
        <f>E46</f>
        <v>740.38</v>
      </c>
      <c r="G46" s="94">
        <f>$J$25/26*$I$41</f>
        <v>126.92307692307691</v>
      </c>
      <c r="H46" s="95">
        <f>IF(F46*$J$29&lt;G46,F46*$J$29,G46)</f>
        <v>126.92307692307691</v>
      </c>
      <c r="I46" s="94">
        <f>H46</f>
        <v>126.92307692307691</v>
      </c>
    </row>
    <row r="47" spans="1:11" x14ac:dyDescent="0.3">
      <c r="A47" s="92">
        <f t="shared" ref="A47:A71" si="0">+A46+1</f>
        <v>2</v>
      </c>
      <c r="B47" s="93">
        <f t="shared" ref="B47:B72" si="1">(+$J$25/26)*C$42</f>
        <v>888.46153846153834</v>
      </c>
      <c r="C47" s="94">
        <f>IF($C$42&lt;0.06,IF(SUM($C$46:C46)+$J$25/26*$J$30*$J$29&gt;$J$33,$J$33-SUM($C$46:C46),ROUND($J$25/26*$J$30*$J$29,2)),IF(SUM($C$46:C46)+$J$25/26*0.06*$J$29&gt;$J$33,$J$33-SUM($C$46:C46),ROUND($J$25/26*0.06*$J$29,2)))</f>
        <v>126.92</v>
      </c>
      <c r="D47" s="74"/>
      <c r="E47" s="95">
        <f>ROUND(IF(A47&lt;$I$42,($J$25/26)*I$40,($J$25/26)*I$43),2)</f>
        <v>740.38</v>
      </c>
      <c r="F47" s="93">
        <f>IF($J$28-SUM($E$46:E46)&gt;0,IF($J$28-SUM($E$46:E46)&lt;E47,$J$28-SUM($E$46:E46),E47),0)</f>
        <v>740.38</v>
      </c>
      <c r="G47" s="94">
        <f>ROUND(IF($A47&lt;$I$42,(+$J$25/26)*I$41,(+$J$25/26)*I$44),2)</f>
        <v>126.92</v>
      </c>
      <c r="H47" s="95">
        <f t="shared" ref="H47:H72" si="2">IF(F47*$J$29&lt;G47,F47*$J$29,G47)</f>
        <v>126.92</v>
      </c>
      <c r="I47" s="96">
        <f>IF($J$33-SUM($H$46:H46)&gt;0,IF($J$33-SUM($H$46:H46)&lt;H47,$J$33-SUM($H$46:H46),H47),0)</f>
        <v>126.92</v>
      </c>
    </row>
    <row r="48" spans="1:11" x14ac:dyDescent="0.3">
      <c r="A48" s="92">
        <f t="shared" si="0"/>
        <v>3</v>
      </c>
      <c r="B48" s="93">
        <f t="shared" si="1"/>
        <v>888.46153846153834</v>
      </c>
      <c r="C48" s="94">
        <f>IF($C$42&lt;0.06,IF(SUM($C$46:C47)+$J$25/26*$J$30*$J$29&gt;$J$33,$J$33-SUM($C$46:C47),ROUND($J$25/26*$J$30*$J$29,2)),IF(SUM($C$46:C47)+$J$25/26*0.06*$J$29&gt;$J$33,$J$33-SUM($C$46:C47),ROUND($J$25/26*0.06*$J$29,2)))</f>
        <v>126.92</v>
      </c>
      <c r="D48" s="74"/>
      <c r="E48" s="95">
        <f t="shared" ref="E48:E72" si="3">ROUND(IF(A48&lt;$I$42,($J$25/26)*I$40,($J$25/26)*I$43),2)</f>
        <v>740.38</v>
      </c>
      <c r="F48" s="93">
        <f>IF($J$28-SUM($E$46:E47)&gt;0,IF($J$28-SUM($E$46:E47)&lt;E48,$J$28-SUM($E$46:E47),E48),0)</f>
        <v>740.38</v>
      </c>
      <c r="G48" s="94">
        <f t="shared" ref="G48:G72" si="4">ROUND(IF($A48&lt;$I$42,(+$J$25/26)*I$41,(+$J$25/26)*I$44),2)</f>
        <v>126.92</v>
      </c>
      <c r="H48" s="95">
        <f t="shared" si="2"/>
        <v>126.92</v>
      </c>
      <c r="I48" s="96">
        <f>IF($J$33-SUM($H$46:H47)&gt;0,IF($J$33-SUM($H$46:H47)&lt;H48,$J$33-SUM($H$46:H47),H48),0)</f>
        <v>126.92</v>
      </c>
    </row>
    <row r="49" spans="1:11" x14ac:dyDescent="0.3">
      <c r="A49" s="92">
        <f t="shared" si="0"/>
        <v>4</v>
      </c>
      <c r="B49" s="93">
        <f t="shared" si="1"/>
        <v>888.46153846153834</v>
      </c>
      <c r="C49" s="94">
        <f>IF($C$42&lt;0.06,IF(SUM($C$46:C48)+$J$25/26*$J$30*$J$29&gt;$J$33,$J$33-SUM($C$46:C48),ROUND($J$25/26*$J$30*$J$29,2)),IF(SUM($C$46:C48)+$J$25/26*0.06*$J$29&gt;$J$33,$J$33-SUM($C$46:C48),ROUND($J$25/26*0.06*$J$29,2)))</f>
        <v>126.92</v>
      </c>
      <c r="D49" s="74"/>
      <c r="E49" s="95">
        <f t="shared" si="3"/>
        <v>740.38</v>
      </c>
      <c r="F49" s="93">
        <f>IF($J$28-SUM($E$46:E48)&gt;0,IF($J$28-SUM($E$46:E48)&lt;E49,$J$28-SUM($E$46:E48),E49),0)</f>
        <v>740.38</v>
      </c>
      <c r="G49" s="94">
        <f t="shared" si="4"/>
        <v>126.92</v>
      </c>
      <c r="H49" s="95">
        <f t="shared" si="2"/>
        <v>126.92</v>
      </c>
      <c r="I49" s="96">
        <f>IF($J$33-SUM($H$46:H48)&gt;0,IF($J$33-SUM($H$46:H48)&lt;H49,$J$33-SUM($H$46:H48),H49),0)</f>
        <v>126.92</v>
      </c>
    </row>
    <row r="50" spans="1:11" x14ac:dyDescent="0.3">
      <c r="A50" s="92">
        <f t="shared" si="0"/>
        <v>5</v>
      </c>
      <c r="B50" s="93">
        <f t="shared" si="1"/>
        <v>888.46153846153834</v>
      </c>
      <c r="C50" s="94">
        <f>IF($C$42&lt;0.06,IF(SUM($C$46:C49)+$J$25/26*$J$30*$J$29&gt;$J$33,$J$33-SUM($C$46:C49),ROUND($J$25/26*$J$30*$J$29,2)),IF(SUM($C$46:C49)+$J$25/26*0.06*$J$29&gt;$J$33,$J$33-SUM($C$46:C49),ROUND($J$25/26*0.06*$J$29,2)))</f>
        <v>126.92</v>
      </c>
      <c r="D50" s="74"/>
      <c r="E50" s="95">
        <f t="shared" si="3"/>
        <v>740.38</v>
      </c>
      <c r="F50" s="93">
        <f>IF($J$28-SUM($E$46:E49)&gt;0,IF($J$28-SUM($E$46:E49)&lt;E50,$J$28-SUM($E$46:E49),E50),0)</f>
        <v>740.38</v>
      </c>
      <c r="G50" s="94">
        <f t="shared" si="4"/>
        <v>126.92</v>
      </c>
      <c r="H50" s="95">
        <f t="shared" si="2"/>
        <v>126.92</v>
      </c>
      <c r="I50" s="96">
        <f>IF($J$33-SUM($H$46:H49)&gt;0,IF($J$33-SUM($H$46:H49)&lt;H50,$J$33-SUM($H$46:H49),H50),0)</f>
        <v>126.92</v>
      </c>
    </row>
    <row r="51" spans="1:11" x14ac:dyDescent="0.3">
      <c r="A51" s="92">
        <f t="shared" si="0"/>
        <v>6</v>
      </c>
      <c r="B51" s="93">
        <f t="shared" si="1"/>
        <v>888.46153846153834</v>
      </c>
      <c r="C51" s="94">
        <f>IF($C$42&lt;0.06,IF(SUM($C$46:C50)+$J$25/26*$J$30*$J$29&gt;$J$33,$J$33-SUM($C$46:C50),ROUND($J$25/26*$J$30*$J$29,2)),IF(SUM($C$46:C50)+$J$25/26*0.06*$J$29&gt;$J$33,$J$33-SUM($C$46:C50),ROUND($J$25/26*0.06*$J$29,2)))</f>
        <v>126.92</v>
      </c>
      <c r="D51" s="74"/>
      <c r="E51" s="95">
        <f t="shared" si="3"/>
        <v>740.38</v>
      </c>
      <c r="F51" s="93">
        <f>IF($J$28-SUM($E$46:E50)&gt;0,IF($J$28-SUM($E$46:E50)&lt;E51,$J$28-SUM($E$46:E50),E51),0)</f>
        <v>740.38</v>
      </c>
      <c r="G51" s="94">
        <f t="shared" si="4"/>
        <v>126.92</v>
      </c>
      <c r="H51" s="95">
        <f t="shared" si="2"/>
        <v>126.92</v>
      </c>
      <c r="I51" s="96">
        <f>IF($J$33-SUM($H$46:H50)&gt;0,IF($J$33-SUM($H$46:H50)&lt;H51,$J$33-SUM($H$46:H50),H51),0)</f>
        <v>126.92</v>
      </c>
    </row>
    <row r="52" spans="1:11" x14ac:dyDescent="0.3">
      <c r="A52" s="92">
        <f t="shared" si="0"/>
        <v>7</v>
      </c>
      <c r="B52" s="93">
        <f t="shared" si="1"/>
        <v>888.46153846153834</v>
      </c>
      <c r="C52" s="94">
        <f>IF($C$42&lt;0.06,IF(SUM($C$46:C51)+$J$25/26*$J$30*$J$29&gt;$J$33,$J$33-SUM($C$46:C51),ROUND($J$25/26*$J$30*$J$29,2)),IF(SUM($C$46:C51)+$J$25/26*0.06*$J$29&gt;$J$33,$J$33-SUM($C$46:C51),ROUND($J$25/26*0.06*$J$29,2)))</f>
        <v>126.92</v>
      </c>
      <c r="D52" s="74"/>
      <c r="E52" s="95">
        <f t="shared" si="3"/>
        <v>740.38</v>
      </c>
      <c r="F52" s="93">
        <f>IF($J$28-SUM($E$46:E51)&gt;0,IF($J$28-SUM($E$46:E51)&lt;E52,$J$28-SUM($E$46:E51),E52),0)</f>
        <v>740.38</v>
      </c>
      <c r="G52" s="94">
        <f t="shared" si="4"/>
        <v>126.92</v>
      </c>
      <c r="H52" s="95">
        <f t="shared" si="2"/>
        <v>126.92</v>
      </c>
      <c r="I52" s="96">
        <f>IF($J$33-SUM($H$46:H51)&gt;0,IF($J$33-SUM($H$46:H51)&lt;H52,$J$33-SUM($H$46:H51),H52),0)</f>
        <v>126.92</v>
      </c>
    </row>
    <row r="53" spans="1:11" x14ac:dyDescent="0.3">
      <c r="A53" s="92">
        <f t="shared" si="0"/>
        <v>8</v>
      </c>
      <c r="B53" s="93">
        <f t="shared" si="1"/>
        <v>888.46153846153834</v>
      </c>
      <c r="C53" s="94">
        <f>IF($C$42&lt;0.06,IF(SUM($C$46:C52)+$J$25/26*$J$30*$J$29&gt;$J$33,$J$33-SUM($C$46:C52),ROUND($J$25/26*$J$30*$J$29,2)),IF(SUM($C$46:C52)+$J$25/26*0.06*$J$29&gt;$J$33,$J$33-SUM($C$46:C52),ROUND($J$25/26*0.06*$J$29,2)))</f>
        <v>126.92</v>
      </c>
      <c r="D53" s="74"/>
      <c r="E53" s="95">
        <f t="shared" si="3"/>
        <v>740.38</v>
      </c>
      <c r="F53" s="93">
        <f>IF($J$28-SUM($E$46:E52)&gt;0,IF($J$28-SUM($E$46:E52)&lt;E53,$J$28-SUM($E$46:E52),E53),0)</f>
        <v>740.38</v>
      </c>
      <c r="G53" s="94">
        <f t="shared" si="4"/>
        <v>126.92</v>
      </c>
      <c r="H53" s="95">
        <f t="shared" si="2"/>
        <v>126.92</v>
      </c>
      <c r="I53" s="96">
        <f>IF($J$33-SUM($H$46:H52)&gt;0,IF($J$33-SUM($H$46:H52)&lt;H53,$J$33-SUM($H$46:H52),H53),0)</f>
        <v>126.92</v>
      </c>
    </row>
    <row r="54" spans="1:11" x14ac:dyDescent="0.3">
      <c r="A54" s="92">
        <f t="shared" si="0"/>
        <v>9</v>
      </c>
      <c r="B54" s="93">
        <f t="shared" si="1"/>
        <v>888.46153846153834</v>
      </c>
      <c r="C54" s="94">
        <f>IF($C$42&lt;0.06,IF(SUM($C$46:C53)+$J$25/26*$J$30*$J$29&gt;$J$33,$J$33-SUM($C$46:C53),ROUND($J$25/26*$J$30*$J$29,2)),IF(SUM($C$46:C53)+$J$25/26*0.06*$J$29&gt;$J$33,$J$33-SUM($C$46:C53),ROUND($J$25/26*0.06*$J$29,2)))</f>
        <v>126.92</v>
      </c>
      <c r="D54" s="74"/>
      <c r="E54" s="95">
        <f t="shared" si="3"/>
        <v>740.38</v>
      </c>
      <c r="F54" s="93">
        <f>IF($J$28-SUM($E$46:E53)&gt;0,IF($J$28-SUM($E$46:E53)&lt;E54,$J$28-SUM($E$46:E53),E54),0)</f>
        <v>740.38</v>
      </c>
      <c r="G54" s="94">
        <f t="shared" si="4"/>
        <v>126.92</v>
      </c>
      <c r="H54" s="95">
        <f t="shared" si="2"/>
        <v>126.92</v>
      </c>
      <c r="I54" s="96">
        <f>IF($J$33-SUM($H$46:H53)&gt;0,IF($J$33-SUM($H$46:H53)&lt;H54,$J$33-SUM($H$46:H53),H54),0)</f>
        <v>126.92</v>
      </c>
    </row>
    <row r="55" spans="1:11" x14ac:dyDescent="0.3">
      <c r="A55" s="92">
        <f t="shared" si="0"/>
        <v>10</v>
      </c>
      <c r="B55" s="93">
        <f t="shared" si="1"/>
        <v>888.46153846153834</v>
      </c>
      <c r="C55" s="94">
        <f>IF($C$42&lt;0.06,IF(SUM($C$46:C54)+$J$25/26*$J$30*$J$29&gt;$J$33,$J$33-SUM($C$46:C54),ROUND($J$25/26*$J$30*$J$29,2)),IF(SUM($C$46:C54)+$J$25/26*0.06*$J$29&gt;$J$33,$J$33-SUM($C$46:C54),ROUND($J$25/26*0.06*$J$29,2)))</f>
        <v>126.92</v>
      </c>
      <c r="D55" s="74"/>
      <c r="E55" s="95">
        <f t="shared" si="3"/>
        <v>740.38</v>
      </c>
      <c r="F55" s="93">
        <f>IF($J$28-SUM($E$46:E54)&gt;0,IF($J$28-SUM($E$46:E54)&lt;E55,$J$28-SUM($E$46:E54),E55),0)</f>
        <v>740.38</v>
      </c>
      <c r="G55" s="94">
        <f t="shared" si="4"/>
        <v>126.92</v>
      </c>
      <c r="H55" s="95">
        <f t="shared" si="2"/>
        <v>126.92</v>
      </c>
      <c r="I55" s="96">
        <f>IF($J$33-SUM($H$46:H54)&gt;0,IF($J$33-SUM($H$46:H54)&lt;H55,$J$33-SUM($H$46:H54),H55),0)</f>
        <v>126.92</v>
      </c>
    </row>
    <row r="56" spans="1:11" x14ac:dyDescent="0.3">
      <c r="A56" s="92">
        <f t="shared" si="0"/>
        <v>11</v>
      </c>
      <c r="B56" s="93">
        <f t="shared" si="1"/>
        <v>888.46153846153834</v>
      </c>
      <c r="C56" s="94">
        <f>IF($C$42&lt;0.06,IF(SUM($C$46:C55)+$J$25/26*$J$30*$J$29&gt;$J$33,$J$33-SUM($C$46:C55),ROUND($J$25/26*$J$30*$J$29,2)),IF(SUM($C$46:C55)+$J$25/26*0.06*$J$29&gt;$J$33,$J$33-SUM($C$46:C55),ROUND($J$25/26*0.06*$J$29,2)))</f>
        <v>126.92</v>
      </c>
      <c r="D56" s="74"/>
      <c r="E56" s="95">
        <f t="shared" si="3"/>
        <v>740.38</v>
      </c>
      <c r="F56" s="93">
        <f>IF($J$28-SUM($E$46:E55)&gt;0,IF($J$28-SUM($E$46:E55)&lt;E56,$J$28-SUM($E$46:E55),E56),0)</f>
        <v>740.38</v>
      </c>
      <c r="G56" s="94">
        <f t="shared" si="4"/>
        <v>126.92</v>
      </c>
      <c r="H56" s="95">
        <f t="shared" si="2"/>
        <v>126.92</v>
      </c>
      <c r="I56" s="96">
        <f>IF($J$33-SUM($H$46:H55)&gt;0,IF($J$33-SUM($H$46:H55)&lt;H56,$J$33-SUM($H$46:H55),H56),0)</f>
        <v>126.92</v>
      </c>
    </row>
    <row r="57" spans="1:11" x14ac:dyDescent="0.3">
      <c r="A57" s="92">
        <f t="shared" si="0"/>
        <v>12</v>
      </c>
      <c r="B57" s="93">
        <f t="shared" si="1"/>
        <v>888.46153846153834</v>
      </c>
      <c r="C57" s="94">
        <f>IF($C$42&lt;0.06,IF(SUM($C$46:C56)+$J$25/26*$J$30*$J$29&gt;$J$33,$J$33-SUM($C$46:C56),ROUND($J$25/26*$J$30*$J$29,2)),IF(SUM($C$46:C56)+$J$25/26*0.06*$J$29&gt;$J$33,$J$33-SUM($C$46:C56),ROUND($J$25/26*0.06*$J$29,2)))</f>
        <v>126.92</v>
      </c>
      <c r="D57" s="74"/>
      <c r="E57" s="95">
        <f t="shared" si="3"/>
        <v>1057.69</v>
      </c>
      <c r="F57" s="93">
        <f>IF($J$28-SUM($E$46:E56)&gt;0,IF($J$28-SUM($E$46:E56)&lt;E57,$J$28-SUM($E$46:E56),E57),0)</f>
        <v>1057.69</v>
      </c>
      <c r="G57" s="94">
        <f t="shared" si="4"/>
        <v>126.92</v>
      </c>
      <c r="H57" s="95">
        <f t="shared" si="2"/>
        <v>126.92</v>
      </c>
      <c r="I57" s="96">
        <f>IF($J$33-SUM($H$46:H56)&gt;0,IF($J$33-SUM($H$46:H56)&lt;H57,$J$33-SUM($H$46:H56),H57),0)</f>
        <v>126.92</v>
      </c>
    </row>
    <row r="58" spans="1:11" x14ac:dyDescent="0.3">
      <c r="A58" s="92">
        <f t="shared" si="0"/>
        <v>13</v>
      </c>
      <c r="B58" s="93">
        <f t="shared" si="1"/>
        <v>888.46153846153834</v>
      </c>
      <c r="C58" s="94">
        <f>IF($C$42&lt;0.06,IF(SUM($C$46:C57)+$J$25/26*$J$30*$J$29&gt;$J$33,$J$33-SUM($C$46:C57),ROUND($J$25/26*$J$30*$J$29,2)),IF(SUM($C$46:C57)+$J$25/26*0.06*$J$29&gt;$J$33,$J$33-SUM($C$46:C57),ROUND($J$25/26*0.06*$J$29,2)))</f>
        <v>126.92</v>
      </c>
      <c r="D58" s="74"/>
      <c r="E58" s="95">
        <f t="shared" si="3"/>
        <v>1057.69</v>
      </c>
      <c r="F58" s="93">
        <f>IF($J$28-SUM($E$46:E57)&gt;0,IF($J$28-SUM($E$46:E57)&lt;E58,$J$28-SUM($E$46:E57),E58),0)</f>
        <v>1057.69</v>
      </c>
      <c r="G58" s="94">
        <f t="shared" si="4"/>
        <v>126.92</v>
      </c>
      <c r="H58" s="95">
        <f t="shared" si="2"/>
        <v>126.92</v>
      </c>
      <c r="I58" s="96">
        <f>IF($J$33-SUM($H$46:H57)&gt;0,IF($J$33-SUM($H$46:H57)&lt;H58,$J$33-SUM($H$46:H57),H58),0)</f>
        <v>126.92</v>
      </c>
    </row>
    <row r="59" spans="1:11" x14ac:dyDescent="0.3">
      <c r="A59" s="92">
        <f t="shared" si="0"/>
        <v>14</v>
      </c>
      <c r="B59" s="93">
        <f t="shared" si="1"/>
        <v>888.46153846153834</v>
      </c>
      <c r="C59" s="94">
        <f>IF($C$42&lt;0.06,IF(SUM($C$46:C58)+$J$25/26*$J$30*$J$29&gt;$J$33,$J$33-SUM($C$46:C58),ROUND($J$25/26*$J$30*$J$29,2)),IF(SUM($C$46:C58)+$J$25/26*0.06*$J$29&gt;$J$33,$J$33-SUM($C$46:C58),ROUND($J$25/26*0.06*$J$29,2)))</f>
        <v>126.92</v>
      </c>
      <c r="D59" s="74"/>
      <c r="E59" s="95">
        <f t="shared" si="3"/>
        <v>1057.69</v>
      </c>
      <c r="F59" s="93">
        <f>IF($J$28-SUM($E$46:E58)&gt;0,IF($J$28-SUM($E$46:E58)&lt;E59,$J$28-SUM($E$46:E58),E59),0)</f>
        <v>1057.69</v>
      </c>
      <c r="G59" s="94">
        <f t="shared" si="4"/>
        <v>126.92</v>
      </c>
      <c r="H59" s="95">
        <f t="shared" si="2"/>
        <v>126.92</v>
      </c>
      <c r="I59" s="96">
        <f>IF($J$33-SUM($H$46:H58)&gt;0,IF($J$33-SUM($H$46:H58)&lt;H59,$J$33-SUM($H$46:H58),H59),0)</f>
        <v>126.92</v>
      </c>
    </row>
    <row r="60" spans="1:11" x14ac:dyDescent="0.3">
      <c r="A60" s="92">
        <f t="shared" si="0"/>
        <v>15</v>
      </c>
      <c r="B60" s="93">
        <f t="shared" si="1"/>
        <v>888.46153846153834</v>
      </c>
      <c r="C60" s="94">
        <f>IF($C$42&lt;0.06,IF(SUM($C$46:C59)+$J$25/26*$J$30*$J$29&gt;$J$33,$J$33-SUM($C$46:C59),ROUND($J$25/26*$J$30*$J$29,2)),IF(SUM($C$46:C59)+$J$25/26*0.06*$J$29&gt;$J$33,$J$33-SUM($C$46:C59),ROUND($J$25/26*0.06*$J$29,2)))</f>
        <v>126.92</v>
      </c>
      <c r="D60" s="74"/>
      <c r="E60" s="95">
        <f t="shared" si="3"/>
        <v>1057.69</v>
      </c>
      <c r="F60" s="93">
        <f>IF($J$28-SUM($E$46:E59)&gt;0,IF($J$28-SUM($E$46:E59)&lt;E60,$J$28-SUM($E$46:E59),E60),0)</f>
        <v>1057.69</v>
      </c>
      <c r="G60" s="94">
        <f t="shared" si="4"/>
        <v>126.92</v>
      </c>
      <c r="H60" s="95">
        <f t="shared" si="2"/>
        <v>126.92</v>
      </c>
      <c r="I60" s="96">
        <f>IF($J$33-SUM($H$46:H59)&gt;0,IF($J$33-SUM($H$46:H59)&lt;H60,$J$33-SUM($H$46:H59),H60),0)</f>
        <v>126.92</v>
      </c>
    </row>
    <row r="61" spans="1:11" x14ac:dyDescent="0.3">
      <c r="A61" s="92">
        <f t="shared" si="0"/>
        <v>16</v>
      </c>
      <c r="B61" s="93">
        <f t="shared" si="1"/>
        <v>888.46153846153834</v>
      </c>
      <c r="C61" s="94">
        <f>IF($C$42&lt;0.06,IF(SUM($C$46:C60)+$J$25/26*$J$30*$J$29&gt;$J$33,$J$33-SUM($C$46:C60),ROUND($J$25/26*$J$30*$J$29,2)),IF(SUM($C$46:C60)+$J$25/26*0.06*$J$29&gt;$J$33,$J$33-SUM($C$46:C60),ROUND($J$25/26*0.06*$J$29,2)))</f>
        <v>126.92</v>
      </c>
      <c r="D61" s="74"/>
      <c r="E61" s="95">
        <f t="shared" si="3"/>
        <v>1057.69</v>
      </c>
      <c r="F61" s="93">
        <f>IF($J$28-SUM($E$46:E60)&gt;0,IF($J$28-SUM($E$46:E60)&lt;E61,$J$28-SUM($E$46:E60),E61),0)</f>
        <v>1057.69</v>
      </c>
      <c r="G61" s="94">
        <f t="shared" si="4"/>
        <v>126.92</v>
      </c>
      <c r="H61" s="95">
        <f t="shared" si="2"/>
        <v>126.92</v>
      </c>
      <c r="I61" s="96">
        <f>IF($J$33-SUM($H$46:H60)&gt;0,IF($J$33-SUM($H$46:H60)&lt;H61,$J$33-SUM($H$46:H60),H61),0)</f>
        <v>126.92</v>
      </c>
    </row>
    <row r="62" spans="1:11" x14ac:dyDescent="0.3">
      <c r="A62" s="92">
        <f t="shared" si="0"/>
        <v>17</v>
      </c>
      <c r="B62" s="93">
        <f t="shared" si="1"/>
        <v>888.46153846153834</v>
      </c>
      <c r="C62" s="94">
        <f>IF($C$42&lt;0.06,IF(SUM($C$46:C61)+$J$25/26*$J$30*$J$29&gt;$J$33,$J$33-SUM($C$46:C61),ROUND($J$25/26*$J$30*$J$29,2)),IF(SUM($C$46:C61)+$J$25/26*0.06*$J$29&gt;$J$33,$J$33-SUM($C$46:C61),ROUND($J$25/26*0.06*$J$29,2)))</f>
        <v>126.92</v>
      </c>
      <c r="D62" s="74"/>
      <c r="E62" s="95">
        <f t="shared" si="3"/>
        <v>1057.69</v>
      </c>
      <c r="F62" s="93">
        <f>IF($J$28-SUM($E$46:E61)&gt;0,IF($J$28-SUM($E$46:E61)&lt;E62,$J$28-SUM($E$46:E61),E62),0)</f>
        <v>1057.69</v>
      </c>
      <c r="G62" s="94">
        <f t="shared" si="4"/>
        <v>126.92</v>
      </c>
      <c r="H62" s="95">
        <f t="shared" si="2"/>
        <v>126.92</v>
      </c>
      <c r="I62" s="96">
        <f>IF($J$33-SUM($H$46:H61)&gt;0,IF($J$33-SUM($H$46:H61)&lt;H62,$J$33-SUM($H$46:H61),H62),0)</f>
        <v>126.92</v>
      </c>
      <c r="K62" s="97" t="s">
        <v>18</v>
      </c>
    </row>
    <row r="63" spans="1:11" x14ac:dyDescent="0.3">
      <c r="A63" s="92">
        <f t="shared" si="0"/>
        <v>18</v>
      </c>
      <c r="B63" s="93">
        <f t="shared" si="1"/>
        <v>888.46153846153834</v>
      </c>
      <c r="C63" s="94">
        <f>IF($C$42&lt;0.06,IF(SUM($C$46:C62)+$J$25/26*$J$30*$J$29&gt;$J$33,$J$33-SUM($C$46:C62),ROUND($J$25/26*$J$30*$J$29,2)),IF(SUM($C$46:C62)+$J$25/26*0.06*$J$29&gt;$J$33,$J$33-SUM($C$46:C62),ROUND($J$25/26*0.06*$J$29,2)))</f>
        <v>126.92</v>
      </c>
      <c r="D63" s="74"/>
      <c r="E63" s="95">
        <f t="shared" si="3"/>
        <v>1057.69</v>
      </c>
      <c r="F63" s="93">
        <f>IF($J$28-SUM($E$46:E62)&gt;0,IF($J$28-SUM($E$46:E62)&lt;E63,$J$28-SUM($E$46:E62),E63),0)</f>
        <v>1057.69</v>
      </c>
      <c r="G63" s="94">
        <f t="shared" si="4"/>
        <v>126.92</v>
      </c>
      <c r="H63" s="95">
        <f t="shared" si="2"/>
        <v>126.92</v>
      </c>
      <c r="I63" s="96">
        <f>IF($J$33-SUM($H$46:H62)&gt;0,IF($J$33-SUM($H$46:H62)&lt;H63,$J$33-SUM($H$46:H62),H63),0)</f>
        <v>126.92</v>
      </c>
    </row>
    <row r="64" spans="1:11" x14ac:dyDescent="0.3">
      <c r="A64" s="92">
        <f t="shared" si="0"/>
        <v>19</v>
      </c>
      <c r="B64" s="93">
        <f t="shared" si="1"/>
        <v>888.46153846153834</v>
      </c>
      <c r="C64" s="94">
        <f>IF($C$42&lt;0.06,IF(SUM($C$46:C63)+$J$25/26*$J$30*$J$29&gt;$J$33,$J$33-SUM($C$46:C63),ROUND($J$25/26*$J$30*$J$29,2)),IF(SUM($C$46:C63)+$J$25/26*0.06*$J$29&gt;$J$33,$J$33-SUM($C$46:C63),ROUND($J$25/26*0.06*$J$29,2)))</f>
        <v>126.92</v>
      </c>
      <c r="D64" s="74"/>
      <c r="E64" s="95">
        <f t="shared" si="3"/>
        <v>1057.69</v>
      </c>
      <c r="F64" s="93">
        <f>IF($J$28-SUM($E$46:E63)&gt;0,IF($J$28-SUM($E$46:E63)&lt;E64,$J$28-SUM($E$46:E63),E64),0)</f>
        <v>1057.69</v>
      </c>
      <c r="G64" s="94">
        <f t="shared" si="4"/>
        <v>126.92</v>
      </c>
      <c r="H64" s="95">
        <f t="shared" si="2"/>
        <v>126.92</v>
      </c>
      <c r="I64" s="96">
        <f>IF($J$33-SUM($H$46:H63)&gt;0,IF($J$33-SUM($H$46:H63)&lt;H64,$J$33-SUM($H$46:H63),H64),0)</f>
        <v>126.92</v>
      </c>
      <c r="K64" s="97" t="s">
        <v>18</v>
      </c>
    </row>
    <row r="65" spans="1:12" x14ac:dyDescent="0.3">
      <c r="A65" s="92">
        <f t="shared" si="0"/>
        <v>20</v>
      </c>
      <c r="B65" s="93">
        <f t="shared" si="1"/>
        <v>888.46153846153834</v>
      </c>
      <c r="C65" s="94">
        <f>IF($C$42&lt;0.06,IF(SUM($C$46:C64)+$J$25/26*$J$30*$J$29&gt;$J$33,$J$33-SUM($C$46:C64),ROUND($J$25/26*$J$30*$J$29,2)),IF(SUM($C$46:C64)+$J$25/26*0.06*$J$29&gt;$J$33,$J$33-SUM($C$46:C64),ROUND($J$25/26*0.06*$J$29,2)))</f>
        <v>126.92</v>
      </c>
      <c r="D65" s="74"/>
      <c r="E65" s="95">
        <f t="shared" si="3"/>
        <v>1057.69</v>
      </c>
      <c r="F65" s="93">
        <f>IF($J$28-SUM($E$46:E64)&gt;0,IF($J$28-SUM($E$46:E64)&lt;E65,$J$28-SUM($E$46:E64),E65),0)</f>
        <v>1057.69</v>
      </c>
      <c r="G65" s="94">
        <f t="shared" si="4"/>
        <v>126.92</v>
      </c>
      <c r="H65" s="95">
        <f t="shared" si="2"/>
        <v>126.92</v>
      </c>
      <c r="I65" s="96">
        <f>IF($J$33-SUM($H$46:H64)&gt;0,IF($J$33-SUM($H$46:H64)&lt;H65,$J$33-SUM($H$46:H64),H65),0)</f>
        <v>126.92</v>
      </c>
    </row>
    <row r="66" spans="1:12" x14ac:dyDescent="0.3">
      <c r="A66" s="92">
        <f t="shared" si="0"/>
        <v>21</v>
      </c>
      <c r="B66" s="93">
        <f t="shared" si="1"/>
        <v>888.46153846153834</v>
      </c>
      <c r="C66" s="94">
        <f>IF($C$42&lt;0.06,IF(SUM($C$46:C65)+$J$25/26*$J$30*$J$29&gt;$J$33,$J$33-SUM($C$46:C65),ROUND($J$25/26*$J$30*$J$29,2)),IF(SUM($C$46:C65)+$J$25/26*0.06*$J$29&gt;$J$33,$J$33-SUM($C$46:C65),ROUND($J$25/26*0.06*$J$29,2)))</f>
        <v>126.92</v>
      </c>
      <c r="D66" s="74"/>
      <c r="E66" s="95">
        <f t="shared" si="3"/>
        <v>1057.69</v>
      </c>
      <c r="F66" s="93">
        <f>IF($J$28-SUM($E$46:E65)&gt;0,IF($J$28-SUM($E$46:E65)&lt;E66,$J$28-SUM($E$46:E65),E66),0)</f>
        <v>1057.69</v>
      </c>
      <c r="G66" s="94">
        <f t="shared" si="4"/>
        <v>126.92</v>
      </c>
      <c r="H66" s="95">
        <f t="shared" si="2"/>
        <v>126.92</v>
      </c>
      <c r="I66" s="96">
        <f>IF($J$33-SUM($H$46:H65)&gt;0,IF($J$33-SUM($H$46:H65)&lt;H66,$J$33-SUM($H$46:H65),H66),0)</f>
        <v>126.92</v>
      </c>
    </row>
    <row r="67" spans="1:12" x14ac:dyDescent="0.3">
      <c r="A67" s="92">
        <f t="shared" si="0"/>
        <v>22</v>
      </c>
      <c r="B67" s="93">
        <f t="shared" si="1"/>
        <v>888.46153846153834</v>
      </c>
      <c r="C67" s="94">
        <f>IF($C$42&lt;0.06,IF(SUM($C$46:C66)+$J$25/26*$J$30*$J$29&gt;$J$33,$J$33-SUM($C$46:C66),ROUND($J$25/26*$J$30*$J$29,2)),IF(SUM($C$46:C66)+$J$25/26*0.06*$J$29&gt;$J$33,$J$33-SUM($C$46:C66),ROUND($J$25/26*0.06*$J$29,2)))</f>
        <v>126.92</v>
      </c>
      <c r="D67" s="74"/>
      <c r="E67" s="95">
        <f t="shared" si="3"/>
        <v>1057.69</v>
      </c>
      <c r="F67" s="93">
        <f>IF($J$28-SUM($E$46:E66)&gt;0,IF($J$28-SUM($E$46:E66)&lt;E67,$J$28-SUM($E$46:E66),E67),0)</f>
        <v>1057.69</v>
      </c>
      <c r="G67" s="94">
        <f t="shared" si="4"/>
        <v>126.92</v>
      </c>
      <c r="H67" s="95">
        <f t="shared" si="2"/>
        <v>126.92</v>
      </c>
      <c r="I67" s="96">
        <f>IF($J$33-SUM($H$46:H66)&gt;0,IF($J$33-SUM($H$46:H66)&lt;H67,$J$33-SUM($H$46:H66),H67),0)</f>
        <v>126.92</v>
      </c>
    </row>
    <row r="68" spans="1:12" x14ac:dyDescent="0.3">
      <c r="A68" s="92">
        <f t="shared" si="0"/>
        <v>23</v>
      </c>
      <c r="B68" s="93">
        <f t="shared" si="1"/>
        <v>888.46153846153834</v>
      </c>
      <c r="C68" s="94">
        <f>IF($C$42&lt;0.06,IF(SUM($C$46:C67)+$J$25/26*$J$30*$J$29&gt;$J$33,$J$33-SUM($C$46:C67),ROUND($J$25/26*$J$30*$J$29,2)),IF(SUM($C$46:C67)+$J$25/26*0.06*$J$29&gt;$J$33,$J$33-SUM($C$46:C67),ROUND($J$25/26*0.06*$J$29,2)))</f>
        <v>126.92</v>
      </c>
      <c r="D68" s="74"/>
      <c r="E68" s="95">
        <f t="shared" si="3"/>
        <v>1057.69</v>
      </c>
      <c r="F68" s="93">
        <f>IF($J$28-SUM($E$46:E67)&gt;0,IF($J$28-SUM($E$46:E67)&lt;E68,$J$28-SUM($E$46:E67),E68),0)</f>
        <v>1057.69</v>
      </c>
      <c r="G68" s="94">
        <f t="shared" si="4"/>
        <v>126.92</v>
      </c>
      <c r="H68" s="95">
        <f t="shared" si="2"/>
        <v>126.92</v>
      </c>
      <c r="I68" s="96">
        <f>IF($J$33-SUM($H$46:H67)&gt;0,IF($J$33-SUM($H$46:H67)&lt;H68,$J$33-SUM($H$46:H67),H68),0)</f>
        <v>126.92</v>
      </c>
    </row>
    <row r="69" spans="1:12" x14ac:dyDescent="0.3">
      <c r="A69" s="92">
        <f t="shared" si="0"/>
        <v>24</v>
      </c>
      <c r="B69" s="93">
        <f t="shared" si="1"/>
        <v>888.46153846153834</v>
      </c>
      <c r="C69" s="94">
        <f>IF($C$42&lt;0.06,IF(SUM($C$46:C68)+$J$25/26*$J$30*$J$29&gt;$J$33,$J$33-SUM($C$46:C68),ROUND($J$25/26*$J$30*$J$29,2)),IF(SUM($C$46:C68)+$J$25/26*0.06*$J$29&gt;$J$33,$J$33-SUM($C$46:C68),ROUND($J$25/26*0.06*$J$29,2)))</f>
        <v>126.92</v>
      </c>
      <c r="D69" s="74"/>
      <c r="E69" s="95">
        <f t="shared" si="3"/>
        <v>1057.69</v>
      </c>
      <c r="F69" s="93">
        <f>IF($J$28-SUM($E$46:E68)&gt;0,IF($J$28-SUM($E$46:E68)&lt;E69,$J$28-SUM($E$46:E68),E69),0)</f>
        <v>1057.69</v>
      </c>
      <c r="G69" s="94">
        <f t="shared" si="4"/>
        <v>126.92</v>
      </c>
      <c r="H69" s="95">
        <f t="shared" si="2"/>
        <v>126.92</v>
      </c>
      <c r="I69" s="96">
        <f>IF($J$33-SUM($H$46:H68)&gt;0,IF($J$33-SUM($H$46:H68)&lt;H69,$J$33-SUM($H$46:H68),H69),0)</f>
        <v>126.92</v>
      </c>
    </row>
    <row r="70" spans="1:12" x14ac:dyDescent="0.3">
      <c r="A70" s="92">
        <f t="shared" si="0"/>
        <v>25</v>
      </c>
      <c r="B70" s="93">
        <f t="shared" si="1"/>
        <v>888.46153846153834</v>
      </c>
      <c r="C70" s="94">
        <f>IF($C$42&lt;0.06,IF(SUM($C$46:C69)+$J$25/26*$J$30*$J$29&gt;$J$33,$J$33-SUM($C$46:C69),ROUND($J$25/26*$J$30*$J$29,2)),IF(SUM($C$46:C69)+$J$25/26*0.06*$J$29&gt;$J$33,$J$33-SUM($C$46:C69),ROUND($J$25/26*0.06*$J$29,2)))</f>
        <v>126.92</v>
      </c>
      <c r="D70" s="98"/>
      <c r="E70" s="95">
        <f t="shared" si="3"/>
        <v>1057.69</v>
      </c>
      <c r="F70" s="93">
        <f>IF($J$28-SUM($E$46:E69)&gt;0,IF($J$28-SUM($E$46:E69)&lt;E70,$J$28-SUM($E$46:E69),E70),0)</f>
        <v>1057.69</v>
      </c>
      <c r="G70" s="94">
        <f t="shared" si="4"/>
        <v>126.92</v>
      </c>
      <c r="H70" s="95">
        <f t="shared" si="2"/>
        <v>126.92</v>
      </c>
      <c r="I70" s="96">
        <f>IF($J$33-SUM($H$46:H69)&gt;0,IF($J$33-SUM($H$46:H69)&lt;H70,$J$33-SUM($H$46:H69),H70),0)</f>
        <v>126.92</v>
      </c>
    </row>
    <row r="71" spans="1:12" x14ac:dyDescent="0.3">
      <c r="A71" s="92">
        <f t="shared" si="0"/>
        <v>26</v>
      </c>
      <c r="B71" s="93">
        <f t="shared" si="1"/>
        <v>888.46153846153834</v>
      </c>
      <c r="C71" s="94">
        <f>IF($C$42&lt;0.06,IF(SUM($C$46:C70)+$J$25/26*$J$30*$J$29&gt;$J$33,$J$33-SUM($C$46:C70),ROUND($J$25/26*$J$30*$J$29,2)),IF(SUM($C$46:C70)+$J$25/26*0.06*$J$29&gt;$J$33,$J$33-SUM($C$46:C70),ROUND($J$25/26*0.06*$J$29,2)))</f>
        <v>126.92</v>
      </c>
      <c r="E71" s="95">
        <f t="shared" si="3"/>
        <v>1057.69</v>
      </c>
      <c r="F71" s="93">
        <f>IF($J$28-SUM($E$46:E70)&gt;0,IF($J$28-SUM($E$46:E70)&lt;E71,$J$28-SUM($E$46:E70),E71),0)</f>
        <v>1057.69</v>
      </c>
      <c r="G71" s="94">
        <f t="shared" si="4"/>
        <v>126.92</v>
      </c>
      <c r="H71" s="95">
        <f t="shared" si="2"/>
        <v>126.92</v>
      </c>
      <c r="I71" s="99">
        <f>IF($J$33-SUM($H$46:H70)&gt;0,IF($J$33-SUM($H$46:H70)&lt;H71,$J$33-SUM($H$46:H70),H71),0)</f>
        <v>126.92</v>
      </c>
      <c r="K71" s="12" t="s">
        <v>18</v>
      </c>
    </row>
    <row r="72" spans="1:12" ht="15" thickBot="1" x14ac:dyDescent="0.35">
      <c r="A72" s="92">
        <v>27</v>
      </c>
      <c r="B72" s="93">
        <f t="shared" si="1"/>
        <v>888.46153846153834</v>
      </c>
      <c r="C72" s="94">
        <f>IF($C$42&lt;0.06,IF(SUM($C$46:C71)+$J$25/26*$J$30*$J$29&gt;$J$33,$J$33-SUM($C$46:C71),ROUND($J$25/26*$J$30*$J$29,2)),IF(SUM($C$46:C71)+$J$25/26*0.06*$J$29&gt;$J$33,$J$33-SUM($C$46:C71),ROUND($J$25/26*0.06*$J$29,2)))</f>
        <v>126.92</v>
      </c>
      <c r="E72" s="95">
        <f t="shared" si="3"/>
        <v>1057.69</v>
      </c>
      <c r="F72" s="100">
        <f>IF($J$28-SUM($E$46:E71)&gt;0,IF($J$28-SUM($E$46:E71)&lt;E72,$J$28-SUM($E$46:E71),E72),0)</f>
        <v>490.4700000000048</v>
      </c>
      <c r="G72" s="94">
        <f t="shared" si="4"/>
        <v>126.92</v>
      </c>
      <c r="H72" s="95">
        <f t="shared" si="2"/>
        <v>126.92</v>
      </c>
      <c r="I72" s="99">
        <f>IF($J$33-SUM($H$46:H71)&gt;0,IF($J$33-SUM($H$46:H71)&lt;H72,$J$33-SUM($H$46:H71),H72),0)</f>
        <v>126.92</v>
      </c>
      <c r="K72" s="12"/>
    </row>
    <row r="73" spans="1:12" ht="15" thickBot="1" x14ac:dyDescent="0.35">
      <c r="A73" s="101" t="s">
        <v>19</v>
      </c>
      <c r="B73" s="102">
        <f>SUM(B46:B72)</f>
        <v>23988.461538461546</v>
      </c>
      <c r="C73" s="102">
        <f>SUM(C46:C72)</f>
        <v>3426.8430769230781</v>
      </c>
      <c r="F73" s="103">
        <f>SUM(F46:F72)</f>
        <v>24500</v>
      </c>
      <c r="G73" s="104"/>
      <c r="H73" s="104"/>
      <c r="I73" s="105">
        <f>SUM(I46:I72)</f>
        <v>3426.8430769230781</v>
      </c>
    </row>
    <row r="74" spans="1:12" x14ac:dyDescent="0.3">
      <c r="A74" s="106" t="s">
        <v>29</v>
      </c>
      <c r="B74" s="98"/>
      <c r="C74" s="98"/>
      <c r="F74" s="107"/>
      <c r="G74" s="107"/>
      <c r="H74" s="107"/>
      <c r="I74" s="98"/>
      <c r="J74" s="107"/>
      <c r="K74" s="107"/>
      <c r="L74" s="98"/>
    </row>
    <row r="75" spans="1:12" x14ac:dyDescent="0.3">
      <c r="A75" s="56"/>
    </row>
    <row r="76" spans="1:12" x14ac:dyDescent="0.3">
      <c r="A76" s="108" t="s">
        <v>20</v>
      </c>
    </row>
    <row r="77" spans="1:12" x14ac:dyDescent="0.3">
      <c r="A77" s="108" t="s">
        <v>22</v>
      </c>
    </row>
    <row r="78" spans="1:12" x14ac:dyDescent="0.3">
      <c r="A78" s="108" t="s">
        <v>21</v>
      </c>
    </row>
    <row r="79" spans="1:12" x14ac:dyDescent="0.3">
      <c r="A79" s="11" t="s">
        <v>18</v>
      </c>
    </row>
  </sheetData>
  <sheetProtection algorithmName="SHA-512" hashValue="b6Rtuf2xpNVm90JMFLUdrviJ19gOU41Nl4dYCY4m5G99diPE/yRa/1b4dk5AGiji8XmSPMHfzwR7UZnX/dnhmw==" saltValue="Q2xqnXOi0FT/NFgVjxnevA==" spinCount="100000" sheet="1" objects="1" scenarios="1"/>
  <mergeCells count="9">
    <mergeCell ref="A2:K2"/>
    <mergeCell ref="A3:K3"/>
    <mergeCell ref="A14:J14"/>
    <mergeCell ref="A15:J15"/>
    <mergeCell ref="B38:C38"/>
    <mergeCell ref="F38:I38"/>
    <mergeCell ref="A30:F30"/>
    <mergeCell ref="A31:F31"/>
    <mergeCell ref="A32:F32"/>
  </mergeCells>
  <conditionalFormatting sqref="B73:B74 F73:H74 J74:K74">
    <cfRule type="cellIs" dxfId="3" priority="4" stopIfTrue="1" operator="greaterThan">
      <formula>$J$28</formula>
    </cfRule>
  </conditionalFormatting>
  <conditionalFormatting sqref="C73">
    <cfRule type="cellIs" dxfId="2" priority="1" stopIfTrue="1" operator="greaterThan">
      <formula>$J$28</formula>
    </cfRule>
  </conditionalFormatting>
  <conditionalFormatting sqref="C74 I74 L74">
    <cfRule type="cellIs" dxfId="1" priority="3" stopIfTrue="1" operator="greaterThan">
      <formula>$J$33</formula>
    </cfRule>
  </conditionalFormatting>
  <conditionalFormatting sqref="I73">
    <cfRule type="cellIs" dxfId="0" priority="2" stopIfTrue="1" operator="greaterThan">
      <formula>$J$28</formula>
    </cfRule>
  </conditionalFormatting>
  <dataValidations count="1">
    <dataValidation type="custom" allowBlank="1" showInputMessage="1" showErrorMessage="1" error="Please enter a numeric value." sqref="J25:J27" xr:uid="{2ECAFF7F-EC25-44ED-B229-B48C57DB84FE}">
      <formula1>ISNUMBER(J25)</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6271F-232B-40F6-AD83-B18030CCD23D}">
  <dimension ref="A1:E34"/>
  <sheetViews>
    <sheetView workbookViewId="0">
      <selection activeCell="I23" sqref="I23"/>
    </sheetView>
  </sheetViews>
  <sheetFormatPr defaultRowHeight="14.4" x14ac:dyDescent="0.3"/>
  <cols>
    <col min="1" max="1" width="45.109375" bestFit="1" customWidth="1"/>
    <col min="2" max="2" width="11.44140625" bestFit="1" customWidth="1"/>
    <col min="4" max="4" width="12" bestFit="1" customWidth="1"/>
    <col min="5" max="5" width="17.5546875" customWidth="1"/>
  </cols>
  <sheetData>
    <row r="1" spans="1:5" ht="21.6" thickBot="1" x14ac:dyDescent="0.45">
      <c r="A1" s="155" t="s">
        <v>30</v>
      </c>
      <c r="B1" s="156"/>
      <c r="C1" s="156"/>
      <c r="D1" s="156"/>
      <c r="E1" s="157"/>
    </row>
    <row r="2" spans="1:5" ht="14.4" customHeight="1" x14ac:dyDescent="0.3">
      <c r="A2" s="158" t="s">
        <v>31</v>
      </c>
      <c r="B2" s="158"/>
      <c r="C2" s="158"/>
      <c r="D2" s="158"/>
      <c r="E2" s="158"/>
    </row>
    <row r="3" spans="1:5" x14ac:dyDescent="0.3">
      <c r="A3" s="158"/>
      <c r="B3" s="158"/>
      <c r="C3" s="158"/>
      <c r="D3" s="158"/>
      <c r="E3" s="158"/>
    </row>
    <row r="4" spans="1:5" x14ac:dyDescent="0.3">
      <c r="A4" s="158"/>
      <c r="B4" s="158"/>
      <c r="C4" s="158"/>
      <c r="D4" s="158"/>
      <c r="E4" s="158"/>
    </row>
    <row r="5" spans="1:5" ht="30" customHeight="1" x14ac:dyDescent="0.3">
      <c r="A5" s="158"/>
      <c r="B5" s="158"/>
      <c r="C5" s="158"/>
      <c r="D5" s="158"/>
      <c r="E5" s="158"/>
    </row>
    <row r="6" spans="1:5" ht="15.6" x14ac:dyDescent="0.3">
      <c r="A6" s="159" t="s">
        <v>32</v>
      </c>
      <c r="B6" s="159"/>
      <c r="C6" s="159"/>
      <c r="D6" s="159"/>
      <c r="E6" s="159"/>
    </row>
    <row r="7" spans="1:5" x14ac:dyDescent="0.3">
      <c r="A7" s="1" t="s">
        <v>33</v>
      </c>
      <c r="B7" s="160" t="s">
        <v>34</v>
      </c>
      <c r="C7" s="160"/>
      <c r="D7" s="160"/>
      <c r="E7" s="160"/>
    </row>
    <row r="8" spans="1:5" x14ac:dyDescent="0.3">
      <c r="A8" s="2" t="s">
        <v>35</v>
      </c>
      <c r="B8" s="154">
        <v>0.75</v>
      </c>
      <c r="C8" s="154"/>
      <c r="D8" s="154"/>
      <c r="E8" s="154"/>
    </row>
    <row r="9" spans="1:5" x14ac:dyDescent="0.3">
      <c r="A9" s="2" t="s">
        <v>36</v>
      </c>
      <c r="B9" s="154">
        <v>1</v>
      </c>
      <c r="C9" s="154"/>
      <c r="D9" s="154"/>
      <c r="E9" s="154"/>
    </row>
    <row r="10" spans="1:5" x14ac:dyDescent="0.3">
      <c r="A10" s="2" t="s">
        <v>37</v>
      </c>
      <c r="B10" s="154">
        <v>1.25</v>
      </c>
      <c r="C10" s="154"/>
      <c r="D10" s="154"/>
      <c r="E10" s="154"/>
    </row>
    <row r="11" spans="1:5" x14ac:dyDescent="0.3">
      <c r="A11" s="3"/>
      <c r="B11" s="3"/>
      <c r="C11" s="3"/>
      <c r="D11" s="3"/>
      <c r="E11" s="3"/>
    </row>
    <row r="12" spans="1:5" ht="15.6" x14ac:dyDescent="0.3">
      <c r="A12" s="159" t="s">
        <v>79</v>
      </c>
      <c r="B12" s="159"/>
      <c r="C12" s="159"/>
      <c r="D12" s="159"/>
      <c r="E12" s="159"/>
    </row>
    <row r="13" spans="1:5" x14ac:dyDescent="0.3">
      <c r="A13" s="4" t="s">
        <v>38</v>
      </c>
      <c r="B13" s="5">
        <v>16200</v>
      </c>
      <c r="C13" s="3" t="s">
        <v>18</v>
      </c>
      <c r="D13" s="6"/>
      <c r="E13" s="7"/>
    </row>
    <row r="14" spans="1:5" x14ac:dyDescent="0.3">
      <c r="A14" s="4" t="s">
        <v>39</v>
      </c>
      <c r="B14" s="5">
        <v>21600</v>
      </c>
      <c r="C14" s="3" t="s">
        <v>18</v>
      </c>
      <c r="D14" s="3"/>
      <c r="E14" s="7"/>
    </row>
    <row r="15" spans="1:5" x14ac:dyDescent="0.3">
      <c r="A15" s="4" t="s">
        <v>40</v>
      </c>
      <c r="B15" s="5">
        <v>27000</v>
      </c>
      <c r="C15" s="3" t="s">
        <v>18</v>
      </c>
      <c r="D15" s="3"/>
      <c r="E15" s="7"/>
    </row>
    <row r="16" spans="1:5" x14ac:dyDescent="0.3">
      <c r="A16" s="3"/>
      <c r="B16" s="8"/>
      <c r="C16" s="3"/>
      <c r="D16" s="3"/>
      <c r="E16" s="3"/>
    </row>
    <row r="17" spans="1:5" ht="15.6" x14ac:dyDescent="0.3">
      <c r="A17" s="159" t="s">
        <v>41</v>
      </c>
      <c r="B17" s="159"/>
      <c r="C17" s="159"/>
      <c r="D17" s="159"/>
      <c r="E17" s="159"/>
    </row>
    <row r="18" spans="1:5" x14ac:dyDescent="0.3">
      <c r="A18" s="161" t="s">
        <v>42</v>
      </c>
      <c r="B18" s="161"/>
      <c r="C18" s="161"/>
      <c r="D18" s="161"/>
      <c r="E18" s="161"/>
    </row>
    <row r="19" spans="1:5" ht="27.6" customHeight="1" x14ac:dyDescent="0.3">
      <c r="A19" s="162" t="s">
        <v>80</v>
      </c>
      <c r="B19" s="161"/>
      <c r="C19" s="161"/>
      <c r="D19" s="161"/>
      <c r="E19" s="161"/>
    </row>
    <row r="20" spans="1:5" x14ac:dyDescent="0.3">
      <c r="A20" s="164" t="s">
        <v>43</v>
      </c>
      <c r="B20" s="165"/>
      <c r="C20" s="165"/>
      <c r="D20" s="165"/>
      <c r="E20" s="166"/>
    </row>
    <row r="21" spans="1:5" ht="14.4" customHeight="1" x14ac:dyDescent="0.3">
      <c r="A21" s="167"/>
      <c r="B21" s="168"/>
      <c r="C21" s="168"/>
      <c r="D21" s="168"/>
      <c r="E21" s="169"/>
    </row>
    <row r="22" spans="1:5" x14ac:dyDescent="0.3">
      <c r="A22" s="167"/>
      <c r="B22" s="168"/>
      <c r="C22" s="168"/>
      <c r="D22" s="168"/>
      <c r="E22" s="169"/>
    </row>
    <row r="23" spans="1:5" ht="10.199999999999999" customHeight="1" x14ac:dyDescent="0.3">
      <c r="A23" s="170"/>
      <c r="B23" s="171"/>
      <c r="C23" s="171"/>
      <c r="D23" s="171"/>
      <c r="E23" s="172"/>
    </row>
    <row r="25" spans="1:5" ht="15.6" x14ac:dyDescent="0.3">
      <c r="A25" s="159" t="s">
        <v>44</v>
      </c>
      <c r="B25" s="159"/>
      <c r="C25" s="159"/>
      <c r="D25" s="159"/>
      <c r="E25" s="159"/>
    </row>
    <row r="26" spans="1:5" ht="19.2" customHeight="1" x14ac:dyDescent="0.3">
      <c r="A26" s="161" t="s">
        <v>45</v>
      </c>
      <c r="B26" s="161"/>
      <c r="C26" s="161"/>
      <c r="D26" s="161"/>
      <c r="E26" s="161"/>
    </row>
    <row r="27" spans="1:5" ht="19.8" customHeight="1" x14ac:dyDescent="0.3">
      <c r="A27" s="161"/>
      <c r="B27" s="161"/>
      <c r="C27" s="161"/>
      <c r="D27" s="161"/>
      <c r="E27" s="161"/>
    </row>
    <row r="28" spans="1:5" ht="19.2" customHeight="1" x14ac:dyDescent="0.3">
      <c r="A28" s="161"/>
      <c r="B28" s="161"/>
      <c r="C28" s="161"/>
      <c r="D28" s="161"/>
      <c r="E28" s="161"/>
    </row>
    <row r="29" spans="1:5" x14ac:dyDescent="0.3">
      <c r="A29" s="9" t="s">
        <v>33</v>
      </c>
      <c r="B29" s="173" t="s">
        <v>46</v>
      </c>
      <c r="C29" s="173"/>
      <c r="D29" s="173"/>
      <c r="E29" s="173"/>
    </row>
    <row r="30" spans="1:5" x14ac:dyDescent="0.3">
      <c r="A30" s="2" t="s">
        <v>47</v>
      </c>
      <c r="B30" s="154" t="s">
        <v>48</v>
      </c>
      <c r="C30" s="154"/>
      <c r="D30" s="154"/>
      <c r="E30" s="154"/>
    </row>
    <row r="31" spans="1:5" x14ac:dyDescent="0.3">
      <c r="A31" s="2" t="s">
        <v>49</v>
      </c>
      <c r="B31" s="163">
        <v>0.25</v>
      </c>
      <c r="C31" s="154"/>
      <c r="D31" s="154"/>
      <c r="E31" s="154"/>
    </row>
    <row r="32" spans="1:5" x14ac:dyDescent="0.3">
      <c r="A32" s="2" t="s">
        <v>50</v>
      </c>
      <c r="B32" s="163">
        <v>0.5</v>
      </c>
      <c r="C32" s="154"/>
      <c r="D32" s="154"/>
      <c r="E32" s="154"/>
    </row>
    <row r="33" spans="1:5" x14ac:dyDescent="0.3">
      <c r="A33" s="2" t="s">
        <v>51</v>
      </c>
      <c r="B33" s="163">
        <v>0.75</v>
      </c>
      <c r="C33" s="154"/>
      <c r="D33" s="154"/>
      <c r="E33" s="154"/>
    </row>
    <row r="34" spans="1:5" x14ac:dyDescent="0.3">
      <c r="A34" s="2" t="s">
        <v>52</v>
      </c>
      <c r="B34" s="163">
        <v>1</v>
      </c>
      <c r="C34" s="154"/>
      <c r="D34" s="154"/>
      <c r="E34" s="154"/>
    </row>
  </sheetData>
  <sheetProtection algorithmName="SHA-512" hashValue="gf5ASVzX6oYsmfqWP6ETYOM6fk/vTsGKlnmHsNdAfYbq49LcSHBNsRpXZb0PX2FNRQkVxiXCjnxywc91xwLXOg==" saltValue="GRGQHeEXJaOS+2quq42fCA==" spinCount="100000" sheet="1"/>
  <mergeCells count="20">
    <mergeCell ref="B33:E33"/>
    <mergeCell ref="B34:E34"/>
    <mergeCell ref="A20:E23"/>
    <mergeCell ref="A25:E25"/>
    <mergeCell ref="A26:E28"/>
    <mergeCell ref="B29:E29"/>
    <mergeCell ref="B30:E30"/>
    <mergeCell ref="B31:E31"/>
    <mergeCell ref="B32:E32"/>
    <mergeCell ref="B10:E10"/>
    <mergeCell ref="A12:E12"/>
    <mergeCell ref="A17:E17"/>
    <mergeCell ref="A18:E18"/>
    <mergeCell ref="A19:E19"/>
    <mergeCell ref="B9:E9"/>
    <mergeCell ref="A1:E1"/>
    <mergeCell ref="A2:E5"/>
    <mergeCell ref="A6:E6"/>
    <mergeCell ref="B7:E7"/>
    <mergeCell ref="B8:E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D08BD-F4E9-4A36-9421-4F34533C2769}">
  <dimension ref="B1:H33"/>
  <sheetViews>
    <sheetView workbookViewId="0">
      <selection activeCell="G5" sqref="G5"/>
    </sheetView>
  </sheetViews>
  <sheetFormatPr defaultRowHeight="14.4" x14ac:dyDescent="0.3"/>
  <cols>
    <col min="2" max="2" width="5.44140625" customWidth="1"/>
    <col min="3" max="3" width="5" customWidth="1"/>
    <col min="4" max="4" width="6.88671875" customWidth="1"/>
    <col min="5" max="5" width="14.44140625" customWidth="1"/>
    <col min="6" max="6" width="13.88671875" customWidth="1"/>
    <col min="7" max="7" width="12" customWidth="1"/>
    <col min="8" max="8" width="5.44140625" customWidth="1"/>
  </cols>
  <sheetData>
    <row r="1" spans="2:8" ht="15" thickBot="1" x14ac:dyDescent="0.35"/>
    <row r="2" spans="2:8" ht="16.2" thickBot="1" x14ac:dyDescent="0.35">
      <c r="B2" s="109"/>
      <c r="C2" s="109"/>
      <c r="D2" s="177" t="s">
        <v>73</v>
      </c>
      <c r="E2" s="178"/>
      <c r="F2" s="178"/>
      <c r="G2" s="178"/>
      <c r="H2" s="179"/>
    </row>
    <row r="3" spans="2:8" ht="36.6" thickBot="1" x14ac:dyDescent="0.35">
      <c r="B3" s="180" t="s">
        <v>74</v>
      </c>
      <c r="C3" s="181"/>
      <c r="D3" s="110" t="s">
        <v>56</v>
      </c>
      <c r="E3" s="111" t="s">
        <v>57</v>
      </c>
      <c r="F3" s="111" t="s">
        <v>58</v>
      </c>
      <c r="G3" s="111" t="s">
        <v>59</v>
      </c>
      <c r="H3" s="112" t="s">
        <v>60</v>
      </c>
    </row>
    <row r="4" spans="2:8" ht="15.6" x14ac:dyDescent="0.3">
      <c r="B4" s="174" t="s">
        <v>75</v>
      </c>
      <c r="C4" s="113">
        <v>14</v>
      </c>
      <c r="D4" s="114">
        <v>1</v>
      </c>
      <c r="E4" s="115">
        <v>46005</v>
      </c>
      <c r="F4" s="115">
        <f>E4+13</f>
        <v>46018</v>
      </c>
      <c r="G4" s="115">
        <f>F4+6</f>
        <v>46024</v>
      </c>
      <c r="H4" s="116">
        <v>27</v>
      </c>
    </row>
    <row r="5" spans="2:8" ht="15.6" x14ac:dyDescent="0.3">
      <c r="B5" s="175"/>
      <c r="C5" s="117">
        <v>12</v>
      </c>
      <c r="D5" s="118">
        <v>2</v>
      </c>
      <c r="E5" s="119">
        <f>E4+14</f>
        <v>46019</v>
      </c>
      <c r="F5" s="119">
        <f>F4+14</f>
        <v>46032</v>
      </c>
      <c r="G5" s="119">
        <f>G4+14</f>
        <v>46038</v>
      </c>
      <c r="H5" s="120">
        <v>26</v>
      </c>
    </row>
    <row r="6" spans="2:8" ht="15.6" x14ac:dyDescent="0.3">
      <c r="B6" s="175"/>
      <c r="C6" s="117">
        <v>10</v>
      </c>
      <c r="D6" s="121">
        <v>3</v>
      </c>
      <c r="E6" s="122">
        <f t="shared" ref="E6:G21" si="0">E5+14</f>
        <v>46033</v>
      </c>
      <c r="F6" s="122">
        <f t="shared" si="0"/>
        <v>46046</v>
      </c>
      <c r="G6" s="122">
        <f t="shared" si="0"/>
        <v>46052</v>
      </c>
      <c r="H6" s="123">
        <v>25</v>
      </c>
    </row>
    <row r="7" spans="2:8" ht="15.6" x14ac:dyDescent="0.3">
      <c r="B7" s="175"/>
      <c r="C7" s="117">
        <v>8</v>
      </c>
      <c r="D7" s="118">
        <v>4</v>
      </c>
      <c r="E7" s="119">
        <f t="shared" si="0"/>
        <v>46047</v>
      </c>
      <c r="F7" s="119">
        <f t="shared" si="0"/>
        <v>46060</v>
      </c>
      <c r="G7" s="119">
        <f t="shared" si="0"/>
        <v>46066</v>
      </c>
      <c r="H7" s="120">
        <v>24</v>
      </c>
    </row>
    <row r="8" spans="2:8" ht="15.6" x14ac:dyDescent="0.3">
      <c r="B8" s="175"/>
      <c r="C8" s="117">
        <v>6</v>
      </c>
      <c r="D8" s="121">
        <v>5</v>
      </c>
      <c r="E8" s="122">
        <f t="shared" si="0"/>
        <v>46061</v>
      </c>
      <c r="F8" s="122">
        <f t="shared" si="0"/>
        <v>46074</v>
      </c>
      <c r="G8" s="122">
        <f t="shared" si="0"/>
        <v>46080</v>
      </c>
      <c r="H8" s="123">
        <v>23</v>
      </c>
    </row>
    <row r="9" spans="2:8" ht="15.6" x14ac:dyDescent="0.3">
      <c r="B9" s="175"/>
      <c r="C9" s="117">
        <v>4</v>
      </c>
      <c r="D9" s="118">
        <v>6</v>
      </c>
      <c r="E9" s="119">
        <f t="shared" si="0"/>
        <v>46075</v>
      </c>
      <c r="F9" s="119">
        <f t="shared" si="0"/>
        <v>46088</v>
      </c>
      <c r="G9" s="119">
        <f t="shared" si="0"/>
        <v>46094</v>
      </c>
      <c r="H9" s="120">
        <v>22</v>
      </c>
    </row>
    <row r="10" spans="2:8" ht="16.2" thickBot="1" x14ac:dyDescent="0.35">
      <c r="B10" s="182"/>
      <c r="C10" s="124">
        <v>2</v>
      </c>
      <c r="D10" s="125">
        <v>7</v>
      </c>
      <c r="E10" s="126">
        <f t="shared" si="0"/>
        <v>46089</v>
      </c>
      <c r="F10" s="126">
        <f t="shared" si="0"/>
        <v>46102</v>
      </c>
      <c r="G10" s="126">
        <f t="shared" si="0"/>
        <v>46108</v>
      </c>
      <c r="H10" s="127">
        <v>21</v>
      </c>
    </row>
    <row r="11" spans="2:8" ht="15.6" x14ac:dyDescent="0.3">
      <c r="B11" s="174" t="s">
        <v>76</v>
      </c>
      <c r="C11" s="113">
        <v>14</v>
      </c>
      <c r="D11" s="128">
        <v>8</v>
      </c>
      <c r="E11" s="129">
        <f t="shared" si="0"/>
        <v>46103</v>
      </c>
      <c r="F11" s="129">
        <f t="shared" si="0"/>
        <v>46116</v>
      </c>
      <c r="G11" s="129">
        <f t="shared" si="0"/>
        <v>46122</v>
      </c>
      <c r="H11" s="130">
        <v>20</v>
      </c>
    </row>
    <row r="12" spans="2:8" ht="15.6" x14ac:dyDescent="0.3">
      <c r="B12" s="175"/>
      <c r="C12" s="117">
        <v>12</v>
      </c>
      <c r="D12" s="121">
        <v>9</v>
      </c>
      <c r="E12" s="122">
        <f t="shared" si="0"/>
        <v>46117</v>
      </c>
      <c r="F12" s="122">
        <f t="shared" si="0"/>
        <v>46130</v>
      </c>
      <c r="G12" s="122">
        <f t="shared" si="0"/>
        <v>46136</v>
      </c>
      <c r="H12" s="123">
        <v>19</v>
      </c>
    </row>
    <row r="13" spans="2:8" ht="15.6" x14ac:dyDescent="0.3">
      <c r="B13" s="175"/>
      <c r="C13" s="117">
        <v>10</v>
      </c>
      <c r="D13" s="118">
        <v>10</v>
      </c>
      <c r="E13" s="119">
        <f t="shared" si="0"/>
        <v>46131</v>
      </c>
      <c r="F13" s="119">
        <f t="shared" si="0"/>
        <v>46144</v>
      </c>
      <c r="G13" s="119">
        <f t="shared" si="0"/>
        <v>46150</v>
      </c>
      <c r="H13" s="120">
        <v>18</v>
      </c>
    </row>
    <row r="14" spans="2:8" ht="15.6" x14ac:dyDescent="0.3">
      <c r="B14" s="175"/>
      <c r="C14" s="117">
        <v>8</v>
      </c>
      <c r="D14" s="121">
        <v>11</v>
      </c>
      <c r="E14" s="122">
        <f t="shared" si="0"/>
        <v>46145</v>
      </c>
      <c r="F14" s="122">
        <f t="shared" si="0"/>
        <v>46158</v>
      </c>
      <c r="G14" s="122">
        <f t="shared" si="0"/>
        <v>46164</v>
      </c>
      <c r="H14" s="123">
        <v>17</v>
      </c>
    </row>
    <row r="15" spans="2:8" ht="15.6" x14ac:dyDescent="0.3">
      <c r="B15" s="175"/>
      <c r="C15" s="117">
        <v>6</v>
      </c>
      <c r="D15" s="118">
        <v>12</v>
      </c>
      <c r="E15" s="119">
        <f t="shared" si="0"/>
        <v>46159</v>
      </c>
      <c r="F15" s="119">
        <f t="shared" si="0"/>
        <v>46172</v>
      </c>
      <c r="G15" s="119">
        <f t="shared" si="0"/>
        <v>46178</v>
      </c>
      <c r="H15" s="120">
        <v>16</v>
      </c>
    </row>
    <row r="16" spans="2:8" ht="15.6" x14ac:dyDescent="0.3">
      <c r="B16" s="175"/>
      <c r="C16" s="131">
        <v>4</v>
      </c>
      <c r="D16" s="132">
        <v>13</v>
      </c>
      <c r="E16" s="133">
        <f t="shared" si="0"/>
        <v>46173</v>
      </c>
      <c r="F16" s="133">
        <f t="shared" si="0"/>
        <v>46186</v>
      </c>
      <c r="G16" s="133">
        <v>46191</v>
      </c>
      <c r="H16" s="134">
        <v>15</v>
      </c>
    </row>
    <row r="17" spans="2:8" ht="16.2" thickBot="1" x14ac:dyDescent="0.35">
      <c r="B17" s="176"/>
      <c r="C17" s="131">
        <v>2</v>
      </c>
      <c r="D17" s="135">
        <v>14</v>
      </c>
      <c r="E17" s="136">
        <f t="shared" si="0"/>
        <v>46187</v>
      </c>
      <c r="F17" s="136">
        <f t="shared" si="0"/>
        <v>46200</v>
      </c>
      <c r="G17" s="136">
        <f>G16+15</f>
        <v>46206</v>
      </c>
      <c r="H17" s="137">
        <v>14</v>
      </c>
    </row>
    <row r="18" spans="2:8" ht="15.6" x14ac:dyDescent="0.3">
      <c r="B18" s="174" t="s">
        <v>77</v>
      </c>
      <c r="C18" s="113">
        <v>12</v>
      </c>
      <c r="D18" s="114">
        <v>15</v>
      </c>
      <c r="E18" s="115">
        <f t="shared" si="0"/>
        <v>46201</v>
      </c>
      <c r="F18" s="115">
        <f t="shared" si="0"/>
        <v>46214</v>
      </c>
      <c r="G18" s="115">
        <f t="shared" si="0"/>
        <v>46220</v>
      </c>
      <c r="H18" s="116">
        <v>13</v>
      </c>
    </row>
    <row r="19" spans="2:8" ht="15.6" x14ac:dyDescent="0.3">
      <c r="B19" s="175"/>
      <c r="C19" s="117">
        <v>10</v>
      </c>
      <c r="D19" s="118">
        <v>16</v>
      </c>
      <c r="E19" s="119">
        <f t="shared" si="0"/>
        <v>46215</v>
      </c>
      <c r="F19" s="119">
        <f t="shared" si="0"/>
        <v>46228</v>
      </c>
      <c r="G19" s="119">
        <f t="shared" si="0"/>
        <v>46234</v>
      </c>
      <c r="H19" s="120">
        <v>12</v>
      </c>
    </row>
    <row r="20" spans="2:8" ht="15.6" x14ac:dyDescent="0.3">
      <c r="B20" s="175"/>
      <c r="C20" s="117">
        <v>8</v>
      </c>
      <c r="D20" s="121">
        <v>17</v>
      </c>
      <c r="E20" s="122">
        <f t="shared" si="0"/>
        <v>46229</v>
      </c>
      <c r="F20" s="122">
        <f t="shared" si="0"/>
        <v>46242</v>
      </c>
      <c r="G20" s="122">
        <f t="shared" si="0"/>
        <v>46248</v>
      </c>
      <c r="H20" s="123">
        <v>11</v>
      </c>
    </row>
    <row r="21" spans="2:8" ht="15.6" x14ac:dyDescent="0.3">
      <c r="B21" s="175"/>
      <c r="C21" s="117">
        <v>6</v>
      </c>
      <c r="D21" s="118">
        <v>18</v>
      </c>
      <c r="E21" s="119">
        <f t="shared" si="0"/>
        <v>46243</v>
      </c>
      <c r="F21" s="119">
        <f t="shared" si="0"/>
        <v>46256</v>
      </c>
      <c r="G21" s="119">
        <f t="shared" si="0"/>
        <v>46262</v>
      </c>
      <c r="H21" s="120">
        <v>10</v>
      </c>
    </row>
    <row r="22" spans="2:8" ht="15.6" x14ac:dyDescent="0.3">
      <c r="B22" s="175"/>
      <c r="C22" s="117">
        <v>4</v>
      </c>
      <c r="D22" s="121">
        <v>19</v>
      </c>
      <c r="E22" s="122">
        <f t="shared" ref="E22:G29" si="1">E21+14</f>
        <v>46257</v>
      </c>
      <c r="F22" s="122">
        <f t="shared" si="1"/>
        <v>46270</v>
      </c>
      <c r="G22" s="122">
        <f t="shared" si="1"/>
        <v>46276</v>
      </c>
      <c r="H22" s="123">
        <v>9</v>
      </c>
    </row>
    <row r="23" spans="2:8" ht="16.2" thickBot="1" x14ac:dyDescent="0.35">
      <c r="B23" s="182"/>
      <c r="C23" s="124">
        <v>2</v>
      </c>
      <c r="D23" s="138">
        <v>20</v>
      </c>
      <c r="E23" s="139">
        <f t="shared" si="1"/>
        <v>46271</v>
      </c>
      <c r="F23" s="139">
        <f t="shared" si="1"/>
        <v>46284</v>
      </c>
      <c r="G23" s="139">
        <f t="shared" si="1"/>
        <v>46290</v>
      </c>
      <c r="H23" s="140">
        <v>8</v>
      </c>
    </row>
    <row r="24" spans="2:8" ht="15.6" x14ac:dyDescent="0.3">
      <c r="B24" s="174" t="s">
        <v>78</v>
      </c>
      <c r="C24" s="113">
        <v>14</v>
      </c>
      <c r="D24" s="114">
        <v>21</v>
      </c>
      <c r="E24" s="115">
        <f t="shared" si="1"/>
        <v>46285</v>
      </c>
      <c r="F24" s="115">
        <f t="shared" si="1"/>
        <v>46298</v>
      </c>
      <c r="G24" s="115">
        <f t="shared" si="1"/>
        <v>46304</v>
      </c>
      <c r="H24" s="116">
        <v>7</v>
      </c>
    </row>
    <row r="25" spans="2:8" ht="15.6" x14ac:dyDescent="0.3">
      <c r="B25" s="175"/>
      <c r="C25" s="117">
        <v>12</v>
      </c>
      <c r="D25" s="118">
        <v>22</v>
      </c>
      <c r="E25" s="119">
        <f t="shared" si="1"/>
        <v>46299</v>
      </c>
      <c r="F25" s="119">
        <f t="shared" si="1"/>
        <v>46312</v>
      </c>
      <c r="G25" s="119">
        <f t="shared" si="1"/>
        <v>46318</v>
      </c>
      <c r="H25" s="120">
        <v>6</v>
      </c>
    </row>
    <row r="26" spans="2:8" ht="15.6" x14ac:dyDescent="0.3">
      <c r="B26" s="175"/>
      <c r="C26" s="117">
        <v>10</v>
      </c>
      <c r="D26" s="121">
        <v>23</v>
      </c>
      <c r="E26" s="122">
        <f t="shared" si="1"/>
        <v>46313</v>
      </c>
      <c r="F26" s="122">
        <f t="shared" si="1"/>
        <v>46326</v>
      </c>
      <c r="G26" s="122">
        <f t="shared" si="1"/>
        <v>46332</v>
      </c>
      <c r="H26" s="123">
        <v>5</v>
      </c>
    </row>
    <row r="27" spans="2:8" ht="15.6" x14ac:dyDescent="0.3">
      <c r="B27" s="175"/>
      <c r="C27" s="117">
        <v>8</v>
      </c>
      <c r="D27" s="118">
        <v>24</v>
      </c>
      <c r="E27" s="119">
        <f t="shared" si="1"/>
        <v>46327</v>
      </c>
      <c r="F27" s="119">
        <f t="shared" si="1"/>
        <v>46340</v>
      </c>
      <c r="G27" s="119">
        <f t="shared" si="1"/>
        <v>46346</v>
      </c>
      <c r="H27" s="120">
        <v>4</v>
      </c>
    </row>
    <row r="28" spans="2:8" ht="15.6" x14ac:dyDescent="0.3">
      <c r="B28" s="175"/>
      <c r="C28" s="117">
        <v>6</v>
      </c>
      <c r="D28" s="121">
        <v>25</v>
      </c>
      <c r="E28" s="122">
        <f t="shared" si="1"/>
        <v>46341</v>
      </c>
      <c r="F28" s="122">
        <f t="shared" si="1"/>
        <v>46354</v>
      </c>
      <c r="G28" s="122">
        <f t="shared" si="1"/>
        <v>46360</v>
      </c>
      <c r="H28" s="123">
        <v>3</v>
      </c>
    </row>
    <row r="29" spans="2:8" ht="15.6" x14ac:dyDescent="0.3">
      <c r="B29" s="175"/>
      <c r="C29" s="131">
        <v>4</v>
      </c>
      <c r="D29" s="135">
        <v>26</v>
      </c>
      <c r="E29" s="136">
        <f t="shared" si="1"/>
        <v>46355</v>
      </c>
      <c r="F29" s="136">
        <f t="shared" si="1"/>
        <v>46368</v>
      </c>
      <c r="G29" s="136">
        <f t="shared" si="1"/>
        <v>46374</v>
      </c>
      <c r="H29" s="137">
        <v>2</v>
      </c>
    </row>
    <row r="30" spans="2:8" ht="16.2" thickBot="1" x14ac:dyDescent="0.35">
      <c r="B30" s="176"/>
      <c r="C30" s="124">
        <v>2</v>
      </c>
      <c r="D30" s="125">
        <v>27</v>
      </c>
      <c r="E30" s="126">
        <v>46369</v>
      </c>
      <c r="F30" s="126">
        <v>46382</v>
      </c>
      <c r="G30" s="126">
        <v>46387</v>
      </c>
      <c r="H30" s="127">
        <v>1</v>
      </c>
    </row>
    <row r="33" spans="5:5" x14ac:dyDescent="0.3">
      <c r="E33" s="10"/>
    </row>
  </sheetData>
  <sheetProtection algorithmName="SHA-512" hashValue="Ee3kDf7LUuh8CZDsW72WehIHLowZoo0wh37v1GC2DmLI3WMCao4udGDHdrpPlG0p7IU3HvThR9hkMYyvETzXxg==" saltValue="xlwtkX9jXx+WhVaqUqjreA==" spinCount="100000" sheet="1"/>
  <mergeCells count="6">
    <mergeCell ref="B24:B30"/>
    <mergeCell ref="D2:H2"/>
    <mergeCell ref="B3:C3"/>
    <mergeCell ref="B4:B10"/>
    <mergeCell ref="B11:B17"/>
    <mergeCell ref="B18:B2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Contribution Estimator</vt:lpstr>
      <vt:lpstr>Employer Match Limits</vt:lpstr>
      <vt:lpstr>Payroll Schedule</vt:lpstr>
    </vt:vector>
  </TitlesOfParts>
  <Company>THR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cfnudsb</dc:creator>
  <cp:lastModifiedBy>Blanco, Thaimi</cp:lastModifiedBy>
  <cp:lastPrinted>2013-12-03T19:45:58Z</cp:lastPrinted>
  <dcterms:created xsi:type="dcterms:W3CDTF">2012-11-13T14:05:40Z</dcterms:created>
  <dcterms:modified xsi:type="dcterms:W3CDTF">2025-11-24T17:39:33Z</dcterms:modified>
</cp:coreProperties>
</file>